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olgalyandres/GHGMI Dropbox/Programs/Mitigation Program/2022 ICAT Agriculture Policy Assessment Guide/Implementation/Activity 3 - Finalization/Final/"/>
    </mc:Choice>
  </mc:AlternateContent>
  <xr:revisionPtr revIDLastSave="0" documentId="13_ncr:1_{4A5CB42A-14B2-8B4D-A498-5EAAC72CD7B7}" xr6:coauthVersionLast="47" xr6:coauthVersionMax="47" xr10:uidLastSave="{00000000-0000-0000-0000-000000000000}"/>
  <bookViews>
    <workbookView xWindow="0" yWindow="500" windowWidth="28800" windowHeight="15720" tabRatio="894" activeTab="6" xr2:uid="{224392F7-EA7D-4FE5-8AB7-02404F220D8E}"/>
  </bookViews>
  <sheets>
    <sheet name="Content" sheetId="26" r:id="rId1"/>
    <sheet name="Hypothetical Country" sheetId="27" r:id="rId2"/>
    <sheet name="Chapter 5 - Assessment" sheetId="29" r:id="rId3"/>
    <sheet name="Manure Data" sheetId="22" r:id="rId4"/>
    <sheet name="Enteric Fermentation Data" sheetId="21" r:id="rId5"/>
    <sheet name="Chapter 6 - Assessment" sheetId="17" r:id="rId6"/>
    <sheet name="Nutrient Data" sheetId="23" r:id="rId7"/>
    <sheet name="Chapter 7 - Assessment" sheetId="28" r:id="rId8"/>
    <sheet name="Soil Data" sheetId="25" r:id="rId9"/>
    <sheet name="Chapter 8 - Assessment" sheetId="19" r:id="rId10"/>
    <sheet name="Rice Data" sheetId="24" r:id="rId11"/>
  </sheets>
  <definedNames>
    <definedName name="_Hlk100928712" localSheetId="4">'Enteric Fermentation Data'!#REF!</definedName>
    <definedName name="_Ref513457841" localSheetId="4">'Enteric Fermentation 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28" l="1"/>
  <c r="AX24" i="28"/>
  <c r="AX25" i="28"/>
  <c r="F215" i="29" l="1"/>
  <c r="E215" i="29"/>
  <c r="F214" i="29"/>
  <c r="E214" i="29"/>
  <c r="F213" i="29"/>
  <c r="E213" i="29"/>
  <c r="F184" i="29"/>
  <c r="F183" i="29"/>
  <c r="F182" i="29"/>
  <c r="E183" i="29"/>
  <c r="E184" i="29"/>
  <c r="E182" i="29"/>
  <c r="E151" i="19"/>
  <c r="E152" i="19"/>
  <c r="E150" i="19"/>
  <c r="F151" i="19"/>
  <c r="F152" i="19"/>
  <c r="F150" i="19"/>
  <c r="F91" i="27" l="1"/>
  <c r="F92" i="27" s="1"/>
  <c r="F86" i="27"/>
  <c r="F85" i="27"/>
  <c r="G151" i="28"/>
  <c r="H151" i="28" s="1"/>
  <c r="I151" i="28" s="1"/>
  <c r="J151" i="28" s="1"/>
  <c r="K151" i="28" s="1"/>
  <c r="L151" i="28" s="1"/>
  <c r="M151" i="28" s="1"/>
  <c r="N151" i="28" s="1"/>
  <c r="O151" i="28" s="1"/>
  <c r="P151" i="28" s="1"/>
  <c r="Q151" i="28" s="1"/>
  <c r="R151" i="28" s="1"/>
  <c r="S151" i="28" s="1"/>
  <c r="T151" i="28" s="1"/>
  <c r="U151" i="28" s="1"/>
  <c r="V151" i="28" s="1"/>
  <c r="W151" i="28" s="1"/>
  <c r="X151" i="28" s="1"/>
  <c r="Y151" i="28" s="1"/>
  <c r="Z151" i="28" s="1"/>
  <c r="AA151" i="28" s="1"/>
  <c r="AB151" i="28" s="1"/>
  <c r="AC151" i="28" s="1"/>
  <c r="AD151" i="28" s="1"/>
  <c r="AE151" i="28" s="1"/>
  <c r="AF151" i="28" s="1"/>
  <c r="AG151" i="28" s="1"/>
  <c r="AH151" i="28" s="1"/>
  <c r="AI151" i="28" s="1"/>
  <c r="AJ151" i="28" s="1"/>
  <c r="AK151" i="28" s="1"/>
  <c r="AL151" i="28" s="1"/>
  <c r="AM151" i="28" s="1"/>
  <c r="AN151" i="28" s="1"/>
  <c r="AO151" i="28" s="1"/>
  <c r="AP151" i="28" s="1"/>
  <c r="AQ151" i="28" s="1"/>
  <c r="AR151" i="28" s="1"/>
  <c r="AS151" i="28" s="1"/>
  <c r="AT151" i="28" s="1"/>
  <c r="G150" i="28"/>
  <c r="H150" i="28" s="1"/>
  <c r="G148" i="28"/>
  <c r="G147" i="28"/>
  <c r="H147" i="28" s="1"/>
  <c r="I147" i="28" s="1"/>
  <c r="G145" i="28"/>
  <c r="H145" i="28" s="1"/>
  <c r="I145" i="28" s="1"/>
  <c r="J145" i="28" s="1"/>
  <c r="K145" i="28" s="1"/>
  <c r="L145" i="28" s="1"/>
  <c r="M145" i="28" s="1"/>
  <c r="N145" i="28" s="1"/>
  <c r="O145" i="28" s="1"/>
  <c r="P145" i="28" s="1"/>
  <c r="Q145" i="28" s="1"/>
  <c r="R145" i="28" s="1"/>
  <c r="S145" i="28" s="1"/>
  <c r="T145" i="28" s="1"/>
  <c r="U145" i="28" s="1"/>
  <c r="V145" i="28" s="1"/>
  <c r="W145" i="28" s="1"/>
  <c r="X145" i="28" s="1"/>
  <c r="Y145" i="28" s="1"/>
  <c r="Z145" i="28" s="1"/>
  <c r="AA145" i="28" s="1"/>
  <c r="AB145" i="28" s="1"/>
  <c r="AC145" i="28" s="1"/>
  <c r="AD145" i="28" s="1"/>
  <c r="AE145" i="28" s="1"/>
  <c r="AF145" i="28" s="1"/>
  <c r="AG145" i="28" s="1"/>
  <c r="AH145" i="28" s="1"/>
  <c r="AI145" i="28" s="1"/>
  <c r="AJ145" i="28" s="1"/>
  <c r="AK145" i="28" s="1"/>
  <c r="AL145" i="28" s="1"/>
  <c r="AM145" i="28" s="1"/>
  <c r="AN145" i="28" s="1"/>
  <c r="AO145" i="28" s="1"/>
  <c r="AP145" i="28" s="1"/>
  <c r="AQ145" i="28" s="1"/>
  <c r="AR145" i="28" s="1"/>
  <c r="AS145" i="28" s="1"/>
  <c r="AT145" i="28" s="1"/>
  <c r="G144" i="28"/>
  <c r="H144" i="28" s="1"/>
  <c r="G142" i="28"/>
  <c r="H142" i="28" s="1"/>
  <c r="I142" i="28" s="1"/>
  <c r="J142" i="28" s="1"/>
  <c r="K142" i="28" s="1"/>
  <c r="L142" i="28" s="1"/>
  <c r="M142" i="28" s="1"/>
  <c r="N142" i="28" s="1"/>
  <c r="O142" i="28" s="1"/>
  <c r="P142" i="28" s="1"/>
  <c r="Q142" i="28" s="1"/>
  <c r="R142" i="28" s="1"/>
  <c r="S142" i="28" s="1"/>
  <c r="T142" i="28" s="1"/>
  <c r="U142" i="28" s="1"/>
  <c r="V142" i="28" s="1"/>
  <c r="W142" i="28" s="1"/>
  <c r="X142" i="28" s="1"/>
  <c r="Y142" i="28" s="1"/>
  <c r="Z142" i="28" s="1"/>
  <c r="AA142" i="28" s="1"/>
  <c r="AB142" i="28" s="1"/>
  <c r="AC142" i="28" s="1"/>
  <c r="AD142" i="28" s="1"/>
  <c r="AE142" i="28" s="1"/>
  <c r="AF142" i="28" s="1"/>
  <c r="AG142" i="28" s="1"/>
  <c r="AH142" i="28" s="1"/>
  <c r="AI142" i="28" s="1"/>
  <c r="AJ142" i="28" s="1"/>
  <c r="AK142" i="28" s="1"/>
  <c r="AL142" i="28" s="1"/>
  <c r="AM142" i="28" s="1"/>
  <c r="AN142" i="28" s="1"/>
  <c r="AO142" i="28" s="1"/>
  <c r="AP142" i="28" s="1"/>
  <c r="AQ142" i="28" s="1"/>
  <c r="AR142" i="28" s="1"/>
  <c r="AS142" i="28" s="1"/>
  <c r="AT142" i="28" s="1"/>
  <c r="G141" i="28"/>
  <c r="H141" i="28" s="1"/>
  <c r="I141" i="28" s="1"/>
  <c r="G139" i="28"/>
  <c r="H139" i="28" s="1"/>
  <c r="I139" i="28" s="1"/>
  <c r="J139" i="28" s="1"/>
  <c r="K139" i="28" s="1"/>
  <c r="L139" i="28" s="1"/>
  <c r="M139" i="28" s="1"/>
  <c r="N139" i="28" s="1"/>
  <c r="O139" i="28" s="1"/>
  <c r="P139" i="28" s="1"/>
  <c r="Q139" i="28" s="1"/>
  <c r="R139" i="28" s="1"/>
  <c r="S139" i="28" s="1"/>
  <c r="T139" i="28" s="1"/>
  <c r="U139" i="28" s="1"/>
  <c r="V139" i="28" s="1"/>
  <c r="W139" i="28" s="1"/>
  <c r="X139" i="28" s="1"/>
  <c r="Y139" i="28" s="1"/>
  <c r="Z139" i="28" s="1"/>
  <c r="AA139" i="28" s="1"/>
  <c r="AB139" i="28" s="1"/>
  <c r="AC139" i="28" s="1"/>
  <c r="AD139" i="28" s="1"/>
  <c r="AE139" i="28" s="1"/>
  <c r="AF139" i="28" s="1"/>
  <c r="AG139" i="28" s="1"/>
  <c r="AH139" i="28" s="1"/>
  <c r="AI139" i="28" s="1"/>
  <c r="AJ139" i="28" s="1"/>
  <c r="AK139" i="28" s="1"/>
  <c r="AL139" i="28" s="1"/>
  <c r="AM139" i="28" s="1"/>
  <c r="AN139" i="28" s="1"/>
  <c r="AO139" i="28" s="1"/>
  <c r="AP139" i="28" s="1"/>
  <c r="AQ139" i="28" s="1"/>
  <c r="AR139" i="28" s="1"/>
  <c r="AS139" i="28" s="1"/>
  <c r="AT139" i="28" s="1"/>
  <c r="G138" i="28"/>
  <c r="H138" i="28" s="1"/>
  <c r="G136" i="28"/>
  <c r="G135" i="28"/>
  <c r="H135" i="28" s="1"/>
  <c r="G69" i="28"/>
  <c r="H69" i="28" s="1"/>
  <c r="I69" i="28" s="1"/>
  <c r="J69" i="28" s="1"/>
  <c r="K69" i="28" s="1"/>
  <c r="L69" i="28" s="1"/>
  <c r="M69" i="28" s="1"/>
  <c r="N69" i="28" s="1"/>
  <c r="O69" i="28" s="1"/>
  <c r="P69" i="28" s="1"/>
  <c r="Q69" i="28" s="1"/>
  <c r="R69" i="28" s="1"/>
  <c r="S69" i="28" s="1"/>
  <c r="T69" i="28" s="1"/>
  <c r="U69" i="28" s="1"/>
  <c r="V69" i="28" s="1"/>
  <c r="W69" i="28" s="1"/>
  <c r="X69" i="28" s="1"/>
  <c r="Y69" i="28" s="1"/>
  <c r="Z69" i="28" s="1"/>
  <c r="AA69" i="28" s="1"/>
  <c r="AB69" i="28" s="1"/>
  <c r="AC69" i="28" s="1"/>
  <c r="AD69" i="28" s="1"/>
  <c r="AE69" i="28" s="1"/>
  <c r="AF69" i="28" s="1"/>
  <c r="AG69" i="28" s="1"/>
  <c r="AH69" i="28" s="1"/>
  <c r="AI69" i="28" s="1"/>
  <c r="AJ69" i="28" s="1"/>
  <c r="AK69" i="28" s="1"/>
  <c r="AL69" i="28" s="1"/>
  <c r="AM69" i="28" s="1"/>
  <c r="AN69" i="28" s="1"/>
  <c r="AO69" i="28" s="1"/>
  <c r="AP69" i="28" s="1"/>
  <c r="AQ69" i="28" s="1"/>
  <c r="AR69" i="28" s="1"/>
  <c r="AS69" i="28" s="1"/>
  <c r="AT69" i="28" s="1"/>
  <c r="G68" i="28"/>
  <c r="H68" i="28" s="1"/>
  <c r="G66" i="28"/>
  <c r="H66" i="28" s="1"/>
  <c r="I66" i="28" s="1"/>
  <c r="J66" i="28" s="1"/>
  <c r="K66" i="28" s="1"/>
  <c r="L66" i="28" s="1"/>
  <c r="M66" i="28" s="1"/>
  <c r="N66" i="28" s="1"/>
  <c r="O66" i="28" s="1"/>
  <c r="P66" i="28" s="1"/>
  <c r="Q66" i="28" s="1"/>
  <c r="R66" i="28" s="1"/>
  <c r="S66" i="28" s="1"/>
  <c r="T66" i="28" s="1"/>
  <c r="U66" i="28" s="1"/>
  <c r="V66" i="28" s="1"/>
  <c r="W66" i="28" s="1"/>
  <c r="X66" i="28" s="1"/>
  <c r="Y66" i="28" s="1"/>
  <c r="Z66" i="28" s="1"/>
  <c r="AA66" i="28" s="1"/>
  <c r="AB66" i="28" s="1"/>
  <c r="AC66" i="28" s="1"/>
  <c r="AD66" i="28" s="1"/>
  <c r="AE66" i="28" s="1"/>
  <c r="AF66" i="28" s="1"/>
  <c r="AG66" i="28" s="1"/>
  <c r="AH66" i="28" s="1"/>
  <c r="AI66" i="28" s="1"/>
  <c r="AJ66" i="28" s="1"/>
  <c r="AK66" i="28" s="1"/>
  <c r="AL66" i="28" s="1"/>
  <c r="AM66" i="28" s="1"/>
  <c r="AN66" i="28" s="1"/>
  <c r="AO66" i="28" s="1"/>
  <c r="AP66" i="28" s="1"/>
  <c r="AQ66" i="28" s="1"/>
  <c r="AR66" i="28" s="1"/>
  <c r="AS66" i="28" s="1"/>
  <c r="AT66" i="28" s="1"/>
  <c r="G65" i="28"/>
  <c r="H65" i="28" s="1"/>
  <c r="G63" i="28"/>
  <c r="H63" i="28" s="1"/>
  <c r="I63" i="28" s="1"/>
  <c r="J63" i="28" s="1"/>
  <c r="K63" i="28" s="1"/>
  <c r="L63" i="28" s="1"/>
  <c r="M63" i="28" s="1"/>
  <c r="N63" i="28" s="1"/>
  <c r="O63" i="28" s="1"/>
  <c r="P63" i="28" s="1"/>
  <c r="Q63" i="28" s="1"/>
  <c r="R63" i="28" s="1"/>
  <c r="S63" i="28" s="1"/>
  <c r="T63" i="28" s="1"/>
  <c r="U63" i="28" s="1"/>
  <c r="V63" i="28" s="1"/>
  <c r="W63" i="28" s="1"/>
  <c r="X63" i="28" s="1"/>
  <c r="Y63" i="28" s="1"/>
  <c r="Z63" i="28" s="1"/>
  <c r="AA63" i="28" s="1"/>
  <c r="AB63" i="28" s="1"/>
  <c r="AC63" i="28" s="1"/>
  <c r="AD63" i="28" s="1"/>
  <c r="AE63" i="28" s="1"/>
  <c r="AF63" i="28" s="1"/>
  <c r="AG63" i="28" s="1"/>
  <c r="AH63" i="28" s="1"/>
  <c r="AI63" i="28" s="1"/>
  <c r="AJ63" i="28" s="1"/>
  <c r="AK63" i="28" s="1"/>
  <c r="AL63" i="28" s="1"/>
  <c r="AM63" i="28" s="1"/>
  <c r="AN63" i="28" s="1"/>
  <c r="AO63" i="28" s="1"/>
  <c r="AP63" i="28" s="1"/>
  <c r="AQ63" i="28" s="1"/>
  <c r="AR63" i="28" s="1"/>
  <c r="AS63" i="28" s="1"/>
  <c r="AT63" i="28" s="1"/>
  <c r="G62" i="28"/>
  <c r="H62" i="28" s="1"/>
  <c r="G60" i="28"/>
  <c r="H60" i="28" s="1"/>
  <c r="I60" i="28" s="1"/>
  <c r="J60" i="28" s="1"/>
  <c r="K60" i="28" s="1"/>
  <c r="L60" i="28" s="1"/>
  <c r="M60" i="28" s="1"/>
  <c r="N60" i="28" s="1"/>
  <c r="O60" i="28" s="1"/>
  <c r="P60" i="28" s="1"/>
  <c r="Q60" i="28" s="1"/>
  <c r="R60" i="28" s="1"/>
  <c r="S60" i="28" s="1"/>
  <c r="T60" i="28" s="1"/>
  <c r="U60" i="28" s="1"/>
  <c r="V60" i="28" s="1"/>
  <c r="W60" i="28" s="1"/>
  <c r="X60" i="28" s="1"/>
  <c r="Y60" i="28" s="1"/>
  <c r="Z60" i="28" s="1"/>
  <c r="AA60" i="28" s="1"/>
  <c r="AB60" i="28" s="1"/>
  <c r="AC60" i="28" s="1"/>
  <c r="AD60" i="28" s="1"/>
  <c r="AE60" i="28" s="1"/>
  <c r="AF60" i="28" s="1"/>
  <c r="AG60" i="28" s="1"/>
  <c r="AH60" i="28" s="1"/>
  <c r="AI60" i="28" s="1"/>
  <c r="AJ60" i="28" s="1"/>
  <c r="AK60" i="28" s="1"/>
  <c r="AL60" i="28" s="1"/>
  <c r="AM60" i="28" s="1"/>
  <c r="AN60" i="28" s="1"/>
  <c r="AO60" i="28" s="1"/>
  <c r="AP60" i="28" s="1"/>
  <c r="AQ60" i="28" s="1"/>
  <c r="AR60" i="28" s="1"/>
  <c r="AS60" i="28" s="1"/>
  <c r="AT60" i="28" s="1"/>
  <c r="G59" i="28"/>
  <c r="H59" i="28" s="1"/>
  <c r="I59" i="28" s="1"/>
  <c r="J59" i="28" s="1"/>
  <c r="G57" i="28"/>
  <c r="H57" i="28" s="1"/>
  <c r="I57" i="28" s="1"/>
  <c r="J57" i="28" s="1"/>
  <c r="K57" i="28" s="1"/>
  <c r="L57" i="28" s="1"/>
  <c r="M57" i="28" s="1"/>
  <c r="N57" i="28" s="1"/>
  <c r="O57" i="28" s="1"/>
  <c r="P57" i="28" s="1"/>
  <c r="Q57" i="28" s="1"/>
  <c r="R57" i="28" s="1"/>
  <c r="S57" i="28" s="1"/>
  <c r="T57" i="28" s="1"/>
  <c r="U57" i="28" s="1"/>
  <c r="V57" i="28" s="1"/>
  <c r="W57" i="28" s="1"/>
  <c r="X57" i="28" s="1"/>
  <c r="Y57" i="28" s="1"/>
  <c r="Z57" i="28" s="1"/>
  <c r="AA57" i="28" s="1"/>
  <c r="AB57" i="28" s="1"/>
  <c r="AC57" i="28" s="1"/>
  <c r="AD57" i="28" s="1"/>
  <c r="AE57" i="28" s="1"/>
  <c r="AF57" i="28" s="1"/>
  <c r="AG57" i="28" s="1"/>
  <c r="AH57" i="28" s="1"/>
  <c r="AI57" i="28" s="1"/>
  <c r="AJ57" i="28" s="1"/>
  <c r="AK57" i="28" s="1"/>
  <c r="AL57" i="28" s="1"/>
  <c r="AM57" i="28" s="1"/>
  <c r="AN57" i="28" s="1"/>
  <c r="AO57" i="28" s="1"/>
  <c r="AP57" i="28" s="1"/>
  <c r="AQ57" i="28" s="1"/>
  <c r="AR57" i="28" s="1"/>
  <c r="AS57" i="28" s="1"/>
  <c r="AT57" i="28" s="1"/>
  <c r="G56" i="28"/>
  <c r="G54" i="28"/>
  <c r="H54" i="28" s="1"/>
  <c r="I54" i="28" s="1"/>
  <c r="J54" i="28" s="1"/>
  <c r="K54" i="28" s="1"/>
  <c r="L54" i="28" s="1"/>
  <c r="M54" i="28" s="1"/>
  <c r="N54" i="28" s="1"/>
  <c r="O54" i="28" s="1"/>
  <c r="P54" i="28" s="1"/>
  <c r="Q54" i="28" s="1"/>
  <c r="R54" i="28" s="1"/>
  <c r="S54" i="28" s="1"/>
  <c r="T54" i="28" s="1"/>
  <c r="U54" i="28" s="1"/>
  <c r="V54" i="28" s="1"/>
  <c r="W54" i="28" s="1"/>
  <c r="X54" i="28" s="1"/>
  <c r="Y54" i="28" s="1"/>
  <c r="Z54" i="28" s="1"/>
  <c r="AA54" i="28" s="1"/>
  <c r="AB54" i="28" s="1"/>
  <c r="AC54" i="28" s="1"/>
  <c r="AD54" i="28" s="1"/>
  <c r="AE54" i="28" s="1"/>
  <c r="AF54" i="28" s="1"/>
  <c r="AG54" i="28" s="1"/>
  <c r="AH54" i="28" s="1"/>
  <c r="AI54" i="28" s="1"/>
  <c r="AJ54" i="28" s="1"/>
  <c r="AK54" i="28" s="1"/>
  <c r="AL54" i="28" s="1"/>
  <c r="AM54" i="28" s="1"/>
  <c r="AN54" i="28" s="1"/>
  <c r="AO54" i="28" s="1"/>
  <c r="AP54" i="28" s="1"/>
  <c r="AQ54" i="28" s="1"/>
  <c r="AR54" i="28" s="1"/>
  <c r="AS54" i="28" s="1"/>
  <c r="AT54" i="28" s="1"/>
  <c r="G53" i="28"/>
  <c r="H53" i="28" s="1"/>
  <c r="I53" i="28" s="1"/>
  <c r="F87" i="27" l="1"/>
  <c r="G64" i="28"/>
  <c r="G67" i="28"/>
  <c r="G58" i="28"/>
  <c r="H64" i="28"/>
  <c r="H52" i="28"/>
  <c r="G140" i="28"/>
  <c r="G146" i="28"/>
  <c r="G134" i="28"/>
  <c r="H61" i="28"/>
  <c r="I144" i="28"/>
  <c r="H143" i="28"/>
  <c r="H137" i="28"/>
  <c r="I138" i="28"/>
  <c r="J147" i="28"/>
  <c r="J141" i="28"/>
  <c r="I140" i="28"/>
  <c r="I150" i="28"/>
  <c r="H149" i="28"/>
  <c r="I135" i="28"/>
  <c r="G143" i="28"/>
  <c r="H136" i="28"/>
  <c r="I136" i="28" s="1"/>
  <c r="J136" i="28" s="1"/>
  <c r="K136" i="28" s="1"/>
  <c r="L136" i="28" s="1"/>
  <c r="M136" i="28" s="1"/>
  <c r="N136" i="28" s="1"/>
  <c r="O136" i="28" s="1"/>
  <c r="P136" i="28" s="1"/>
  <c r="Q136" i="28" s="1"/>
  <c r="R136" i="28" s="1"/>
  <c r="S136" i="28" s="1"/>
  <c r="T136" i="28" s="1"/>
  <c r="U136" i="28" s="1"/>
  <c r="V136" i="28" s="1"/>
  <c r="W136" i="28" s="1"/>
  <c r="X136" i="28" s="1"/>
  <c r="Y136" i="28" s="1"/>
  <c r="Z136" i="28" s="1"/>
  <c r="AA136" i="28" s="1"/>
  <c r="AB136" i="28" s="1"/>
  <c r="AC136" i="28" s="1"/>
  <c r="AD136" i="28" s="1"/>
  <c r="AE136" i="28" s="1"/>
  <c r="AF136" i="28" s="1"/>
  <c r="AG136" i="28" s="1"/>
  <c r="AH136" i="28" s="1"/>
  <c r="AI136" i="28" s="1"/>
  <c r="AJ136" i="28" s="1"/>
  <c r="AK136" i="28" s="1"/>
  <c r="AL136" i="28" s="1"/>
  <c r="AM136" i="28" s="1"/>
  <c r="AN136" i="28" s="1"/>
  <c r="AO136" i="28" s="1"/>
  <c r="AP136" i="28" s="1"/>
  <c r="AQ136" i="28" s="1"/>
  <c r="AR136" i="28" s="1"/>
  <c r="AS136" i="28" s="1"/>
  <c r="AT136" i="28" s="1"/>
  <c r="G149" i="28"/>
  <c r="H140" i="28"/>
  <c r="H148" i="28"/>
  <c r="I148" i="28" s="1"/>
  <c r="J148" i="28" s="1"/>
  <c r="K148" i="28" s="1"/>
  <c r="L148" i="28" s="1"/>
  <c r="M148" i="28" s="1"/>
  <c r="N148" i="28" s="1"/>
  <c r="O148" i="28" s="1"/>
  <c r="P148" i="28" s="1"/>
  <c r="Q148" i="28" s="1"/>
  <c r="R148" i="28" s="1"/>
  <c r="S148" i="28" s="1"/>
  <c r="T148" i="28" s="1"/>
  <c r="U148" i="28" s="1"/>
  <c r="V148" i="28" s="1"/>
  <c r="W148" i="28" s="1"/>
  <c r="X148" i="28" s="1"/>
  <c r="Y148" i="28" s="1"/>
  <c r="Z148" i="28" s="1"/>
  <c r="AA148" i="28" s="1"/>
  <c r="AB148" i="28" s="1"/>
  <c r="AC148" i="28" s="1"/>
  <c r="AD148" i="28" s="1"/>
  <c r="AE148" i="28" s="1"/>
  <c r="AF148" i="28" s="1"/>
  <c r="AG148" i="28" s="1"/>
  <c r="AH148" i="28" s="1"/>
  <c r="AI148" i="28" s="1"/>
  <c r="AJ148" i="28" s="1"/>
  <c r="AK148" i="28" s="1"/>
  <c r="AL148" i="28" s="1"/>
  <c r="AM148" i="28" s="1"/>
  <c r="AN148" i="28" s="1"/>
  <c r="AO148" i="28" s="1"/>
  <c r="AP148" i="28" s="1"/>
  <c r="AQ148" i="28" s="1"/>
  <c r="AR148" i="28" s="1"/>
  <c r="AS148" i="28" s="1"/>
  <c r="AT148" i="28" s="1"/>
  <c r="G137" i="28"/>
  <c r="J53" i="28"/>
  <c r="I52" i="28"/>
  <c r="K59" i="28"/>
  <c r="J58" i="28"/>
  <c r="H56" i="28"/>
  <c r="G55" i="28"/>
  <c r="I58" i="28"/>
  <c r="H58" i="28"/>
  <c r="I65" i="28"/>
  <c r="G52" i="28"/>
  <c r="G61" i="28"/>
  <c r="I62" i="28"/>
  <c r="I68" i="28"/>
  <c r="H67" i="28"/>
  <c r="I146" i="28" l="1"/>
  <c r="K147" i="28"/>
  <c r="J146" i="28"/>
  <c r="H134" i="28"/>
  <c r="J138" i="28"/>
  <c r="I137" i="28"/>
  <c r="K141" i="28"/>
  <c r="J140" i="28"/>
  <c r="H146" i="28"/>
  <c r="J135" i="28"/>
  <c r="I134" i="28"/>
  <c r="J150" i="28"/>
  <c r="I149" i="28"/>
  <c r="J144" i="28"/>
  <c r="I143" i="28"/>
  <c r="K53" i="28"/>
  <c r="J52" i="28"/>
  <c r="J65" i="28"/>
  <c r="I64" i="28"/>
  <c r="H55" i="28"/>
  <c r="I56" i="28"/>
  <c r="J68" i="28"/>
  <c r="I67" i="28"/>
  <c r="I61" i="28"/>
  <c r="J62" i="28"/>
  <c r="L59" i="28"/>
  <c r="K58" i="28"/>
  <c r="K144" i="28" l="1"/>
  <c r="J143" i="28"/>
  <c r="K138" i="28"/>
  <c r="J137" i="28"/>
  <c r="L147" i="28"/>
  <c r="K146" i="28"/>
  <c r="L141" i="28"/>
  <c r="K140" i="28"/>
  <c r="K150" i="28"/>
  <c r="J149" i="28"/>
  <c r="K135" i="28"/>
  <c r="J134" i="28"/>
  <c r="K68" i="28"/>
  <c r="J67" i="28"/>
  <c r="J56" i="28"/>
  <c r="I55" i="28"/>
  <c r="L58" i="28"/>
  <c r="M59" i="28"/>
  <c r="K65" i="28"/>
  <c r="J64" i="28"/>
  <c r="K62" i="28"/>
  <c r="J61" i="28"/>
  <c r="L53" i="28"/>
  <c r="K52" i="28"/>
  <c r="M141" i="28" l="1"/>
  <c r="L140" i="28"/>
  <c r="M147" i="28"/>
  <c r="L146" i="28"/>
  <c r="L138" i="28"/>
  <c r="K137" i="28"/>
  <c r="L135" i="28"/>
  <c r="K134" i="28"/>
  <c r="L150" i="28"/>
  <c r="K149" i="28"/>
  <c r="L144" i="28"/>
  <c r="K143" i="28"/>
  <c r="L62" i="28"/>
  <c r="K61" i="28"/>
  <c r="L68" i="28"/>
  <c r="K67" i="28"/>
  <c r="L65" i="28"/>
  <c r="K64" i="28"/>
  <c r="N59" i="28"/>
  <c r="M58" i="28"/>
  <c r="L52" i="28"/>
  <c r="M53" i="28"/>
  <c r="K56" i="28"/>
  <c r="J55" i="28"/>
  <c r="M150" i="28" l="1"/>
  <c r="L149" i="28"/>
  <c r="M135" i="28"/>
  <c r="L134" i="28"/>
  <c r="M144" i="28"/>
  <c r="L143" i="28"/>
  <c r="N147" i="28"/>
  <c r="M146" i="28"/>
  <c r="N141" i="28"/>
  <c r="M140" i="28"/>
  <c r="M138" i="28"/>
  <c r="L137" i="28"/>
  <c r="N58" i="28"/>
  <c r="O59" i="28"/>
  <c r="L64" i="28"/>
  <c r="M65" i="28"/>
  <c r="L61" i="28"/>
  <c r="M62" i="28"/>
  <c r="M52" i="28"/>
  <c r="N53" i="28"/>
  <c r="L56" i="28"/>
  <c r="K55" i="28"/>
  <c r="M68" i="28"/>
  <c r="L67" i="28"/>
  <c r="N146" i="28" l="1"/>
  <c r="O147" i="28"/>
  <c r="N144" i="28"/>
  <c r="M143" i="28"/>
  <c r="N138" i="28"/>
  <c r="M137" i="28"/>
  <c r="N135" i="28"/>
  <c r="M134" i="28"/>
  <c r="N140" i="28"/>
  <c r="O141" i="28"/>
  <c r="N150" i="28"/>
  <c r="M149" i="28"/>
  <c r="P59" i="28"/>
  <c r="O58" i="28"/>
  <c r="N52" i="28"/>
  <c r="O53" i="28"/>
  <c r="L55" i="28"/>
  <c r="M56" i="28"/>
  <c r="N65" i="28"/>
  <c r="M64" i="28"/>
  <c r="N62" i="28"/>
  <c r="M61" i="28"/>
  <c r="N68" i="28"/>
  <c r="M67" i="28"/>
  <c r="P141" i="28" l="1"/>
  <c r="O140" i="28"/>
  <c r="N137" i="28"/>
  <c r="O138" i="28"/>
  <c r="P147" i="28"/>
  <c r="O146" i="28"/>
  <c r="O135" i="28"/>
  <c r="N134" i="28"/>
  <c r="N149" i="28"/>
  <c r="O150" i="28"/>
  <c r="N143" i="28"/>
  <c r="O144" i="28"/>
  <c r="P58" i="28"/>
  <c r="Q59" i="28"/>
  <c r="O65" i="28"/>
  <c r="N64" i="28"/>
  <c r="N56" i="28"/>
  <c r="M55" i="28"/>
  <c r="P53" i="28"/>
  <c r="O52" i="28"/>
  <c r="N61" i="28"/>
  <c r="O62" i="28"/>
  <c r="O68" i="28"/>
  <c r="N67" i="28"/>
  <c r="P150" i="28" l="1"/>
  <c r="O149" i="28"/>
  <c r="P140" i="28"/>
  <c r="Q141" i="28"/>
  <c r="Q147" i="28"/>
  <c r="P146" i="28"/>
  <c r="O134" i="28"/>
  <c r="P135" i="28"/>
  <c r="O143" i="28"/>
  <c r="P144" i="28"/>
  <c r="P138" i="28"/>
  <c r="O137" i="28"/>
  <c r="Q53" i="28"/>
  <c r="P52" i="28"/>
  <c r="P62" i="28"/>
  <c r="O61" i="28"/>
  <c r="O56" i="28"/>
  <c r="N55" i="28"/>
  <c r="R59" i="28"/>
  <c r="Q58" i="28"/>
  <c r="P68" i="28"/>
  <c r="O67" i="28"/>
  <c r="P65" i="28"/>
  <c r="O64" i="28"/>
  <c r="P134" i="28" l="1"/>
  <c r="Q135" i="28"/>
  <c r="R141" i="28"/>
  <c r="Q140" i="28"/>
  <c r="Q144" i="28"/>
  <c r="P143" i="28"/>
  <c r="Q150" i="28"/>
  <c r="P149" i="28"/>
  <c r="R147" i="28"/>
  <c r="Q146" i="28"/>
  <c r="Q138" i="28"/>
  <c r="P137" i="28"/>
  <c r="Q68" i="28"/>
  <c r="P67" i="28"/>
  <c r="P56" i="28"/>
  <c r="O55" i="28"/>
  <c r="Q52" i="28"/>
  <c r="R53" i="28"/>
  <c r="S59" i="28"/>
  <c r="R58" i="28"/>
  <c r="P64" i="28"/>
  <c r="Q65" i="28"/>
  <c r="P61" i="28"/>
  <c r="Q62" i="28"/>
  <c r="R135" i="28" l="1"/>
  <c r="Q134" i="28"/>
  <c r="S147" i="28"/>
  <c r="R146" i="28"/>
  <c r="R150" i="28"/>
  <c r="Q149" i="28"/>
  <c r="R144" i="28"/>
  <c r="Q143" i="28"/>
  <c r="R138" i="28"/>
  <c r="Q137" i="28"/>
  <c r="S141" i="28"/>
  <c r="R140" i="28"/>
  <c r="R68" i="28"/>
  <c r="Q67" i="28"/>
  <c r="T59" i="28"/>
  <c r="S58" i="28"/>
  <c r="R65" i="28"/>
  <c r="Q64" i="28"/>
  <c r="S53" i="28"/>
  <c r="R52" i="28"/>
  <c r="R62" i="28"/>
  <c r="Q61" i="28"/>
  <c r="P55" i="28"/>
  <c r="Q56" i="28"/>
  <c r="S144" i="28" l="1"/>
  <c r="R143" i="28"/>
  <c r="S150" i="28"/>
  <c r="R149" i="28"/>
  <c r="T141" i="28"/>
  <c r="S140" i="28"/>
  <c r="T147" i="28"/>
  <c r="S146" i="28"/>
  <c r="S138" i="28"/>
  <c r="R137" i="28"/>
  <c r="R134" i="28"/>
  <c r="S135" i="28"/>
  <c r="S68" i="28"/>
  <c r="R67" i="28"/>
  <c r="T53" i="28"/>
  <c r="S52" i="28"/>
  <c r="S65" i="28"/>
  <c r="R64" i="28"/>
  <c r="R56" i="28"/>
  <c r="Q55" i="28"/>
  <c r="S62" i="28"/>
  <c r="R61" i="28"/>
  <c r="T58" i="28"/>
  <c r="U59" i="28"/>
  <c r="U147" i="28" l="1"/>
  <c r="T146" i="28"/>
  <c r="U141" i="28"/>
  <c r="T140" i="28"/>
  <c r="T135" i="28"/>
  <c r="S134" i="28"/>
  <c r="T150" i="28"/>
  <c r="S149" i="28"/>
  <c r="T138" i="28"/>
  <c r="S137" i="28"/>
  <c r="T144" i="28"/>
  <c r="S143" i="28"/>
  <c r="S56" i="28"/>
  <c r="R55" i="28"/>
  <c r="T65" i="28"/>
  <c r="S64" i="28"/>
  <c r="T68" i="28"/>
  <c r="S67" i="28"/>
  <c r="V59" i="28"/>
  <c r="U58" i="28"/>
  <c r="T62" i="28"/>
  <c r="S61" i="28"/>
  <c r="U53" i="28"/>
  <c r="T52" i="28"/>
  <c r="U144" i="28" l="1"/>
  <c r="T143" i="28"/>
  <c r="V141" i="28"/>
  <c r="U140" i="28"/>
  <c r="U150" i="28"/>
  <c r="T149" i="28"/>
  <c r="T134" i="28"/>
  <c r="U135" i="28"/>
  <c r="U138" i="28"/>
  <c r="T137" i="28"/>
  <c r="V147" i="28"/>
  <c r="U146" i="28"/>
  <c r="U52" i="28"/>
  <c r="V53" i="28"/>
  <c r="T61" i="28"/>
  <c r="U62" i="28"/>
  <c r="T56" i="28"/>
  <c r="S55" i="28"/>
  <c r="W59" i="28"/>
  <c r="V58" i="28"/>
  <c r="U68" i="28"/>
  <c r="T67" i="28"/>
  <c r="T64" i="28"/>
  <c r="U65" i="28"/>
  <c r="V150" i="28" l="1"/>
  <c r="U149" i="28"/>
  <c r="V135" i="28"/>
  <c r="U134" i="28"/>
  <c r="V140" i="28"/>
  <c r="W141" i="28"/>
  <c r="V146" i="28"/>
  <c r="W147" i="28"/>
  <c r="V138" i="28"/>
  <c r="U137" i="28"/>
  <c r="V144" i="28"/>
  <c r="U143" i="28"/>
  <c r="V68" i="28"/>
  <c r="U67" i="28"/>
  <c r="T55" i="28"/>
  <c r="U56" i="28"/>
  <c r="X59" i="28"/>
  <c r="W58" i="28"/>
  <c r="U64" i="28"/>
  <c r="V65" i="28"/>
  <c r="V62" i="28"/>
  <c r="U61" i="28"/>
  <c r="W53" i="28"/>
  <c r="V52" i="28"/>
  <c r="X141" i="28" l="1"/>
  <c r="W140" i="28"/>
  <c r="V143" i="28"/>
  <c r="W144" i="28"/>
  <c r="W135" i="28"/>
  <c r="V134" i="28"/>
  <c r="W146" i="28"/>
  <c r="X147" i="28"/>
  <c r="V137" i="28"/>
  <c r="W138" i="28"/>
  <c r="V149" i="28"/>
  <c r="W150" i="28"/>
  <c r="V61" i="28"/>
  <c r="W62" i="28"/>
  <c r="V64" i="28"/>
  <c r="W65" i="28"/>
  <c r="X58" i="28"/>
  <c r="Y59" i="28"/>
  <c r="V67" i="28"/>
  <c r="W68" i="28"/>
  <c r="U55" i="28"/>
  <c r="V56" i="28"/>
  <c r="X53" i="28"/>
  <c r="W52" i="28"/>
  <c r="Y147" i="28" l="1"/>
  <c r="X146" i="28"/>
  <c r="X135" i="28"/>
  <c r="W134" i="28"/>
  <c r="X150" i="28"/>
  <c r="W149" i="28"/>
  <c r="X144" i="28"/>
  <c r="W143" i="28"/>
  <c r="X138" i="28"/>
  <c r="W137" i="28"/>
  <c r="Y141" i="28"/>
  <c r="X140" i="28"/>
  <c r="Y53" i="28"/>
  <c r="X52" i="28"/>
  <c r="X68" i="28"/>
  <c r="W67" i="28"/>
  <c r="Z59" i="28"/>
  <c r="Y58" i="28"/>
  <c r="X65" i="28"/>
  <c r="W64" i="28"/>
  <c r="W56" i="28"/>
  <c r="V55" i="28"/>
  <c r="X62" i="28"/>
  <c r="W61" i="28"/>
  <c r="Y150" i="28" l="1"/>
  <c r="X149" i="28"/>
  <c r="Z141" i="28"/>
  <c r="Y140" i="28"/>
  <c r="Y135" i="28"/>
  <c r="X134" i="28"/>
  <c r="X143" i="28"/>
  <c r="Y144" i="28"/>
  <c r="Y138" i="28"/>
  <c r="X137" i="28"/>
  <c r="Z147" i="28"/>
  <c r="Y146" i="28"/>
  <c r="X56" i="28"/>
  <c r="W55" i="28"/>
  <c r="AA59" i="28"/>
  <c r="Z58" i="28"/>
  <c r="Y52" i="28"/>
  <c r="Z53" i="28"/>
  <c r="X64" i="28"/>
  <c r="Y65" i="28"/>
  <c r="X61" i="28"/>
  <c r="Y62" i="28"/>
  <c r="Y68" i="28"/>
  <c r="X67" i="28"/>
  <c r="Z144" i="28" l="1"/>
  <c r="Y143" i="28"/>
  <c r="Z135" i="28"/>
  <c r="Y134" i="28"/>
  <c r="AA147" i="28"/>
  <c r="Z146" i="28"/>
  <c r="AA141" i="28"/>
  <c r="Z140" i="28"/>
  <c r="Z138" i="28"/>
  <c r="Y137" i="28"/>
  <c r="Z150" i="28"/>
  <c r="Y149" i="28"/>
  <c r="Z68" i="28"/>
  <c r="Y67" i="28"/>
  <c r="AA53" i="28"/>
  <c r="Z52" i="28"/>
  <c r="X55" i="28"/>
  <c r="Y56" i="28"/>
  <c r="Z65" i="28"/>
  <c r="Y64" i="28"/>
  <c r="AB59" i="28"/>
  <c r="AA58" i="28"/>
  <c r="Z62" i="28"/>
  <c r="Y61" i="28"/>
  <c r="AB147" i="28" l="1"/>
  <c r="AA146" i="28"/>
  <c r="AA150" i="28"/>
  <c r="Z149" i="28"/>
  <c r="AA135" i="28"/>
  <c r="Z134" i="28"/>
  <c r="AB141" i="28"/>
  <c r="AA140" i="28"/>
  <c r="AA138" i="28"/>
  <c r="Z137" i="28"/>
  <c r="AA144" i="28"/>
  <c r="Z143" i="28"/>
  <c r="AB58" i="28"/>
  <c r="AC59" i="28"/>
  <c r="AA68" i="28"/>
  <c r="Z67" i="28"/>
  <c r="AA65" i="28"/>
  <c r="Z64" i="28"/>
  <c r="Y55" i="28"/>
  <c r="Z56" i="28"/>
  <c r="AA62" i="28"/>
  <c r="Z61" i="28"/>
  <c r="AB53" i="28"/>
  <c r="AA52" i="28"/>
  <c r="AB135" i="28" l="1"/>
  <c r="AA134" i="28"/>
  <c r="AB144" i="28"/>
  <c r="AA143" i="28"/>
  <c r="AB150" i="28"/>
  <c r="AA149" i="28"/>
  <c r="AC141" i="28"/>
  <c r="AB140" i="28"/>
  <c r="AB138" i="28"/>
  <c r="AA137" i="28"/>
  <c r="AC147" i="28"/>
  <c r="AB146" i="28"/>
  <c r="AC53" i="28"/>
  <c r="AB52" i="28"/>
  <c r="AB65" i="28"/>
  <c r="AA64" i="28"/>
  <c r="AB62" i="28"/>
  <c r="AA61" i="28"/>
  <c r="AA56" i="28"/>
  <c r="Z55" i="28"/>
  <c r="AB68" i="28"/>
  <c r="AA67" i="28"/>
  <c r="AC58" i="28"/>
  <c r="AD59" i="28"/>
  <c r="AC150" i="28" l="1"/>
  <c r="AB149" i="28"/>
  <c r="AC138" i="28"/>
  <c r="AB137" i="28"/>
  <c r="AB134" i="28"/>
  <c r="AC135" i="28"/>
  <c r="AD141" i="28"/>
  <c r="AC140" i="28"/>
  <c r="AD147" i="28"/>
  <c r="AC146" i="28"/>
  <c r="AC144" i="28"/>
  <c r="AB143" i="28"/>
  <c r="AD53" i="28"/>
  <c r="AC52" i="28"/>
  <c r="AB61" i="28"/>
  <c r="AC62" i="28"/>
  <c r="AC68" i="28"/>
  <c r="AB67" i="28"/>
  <c r="AB56" i="28"/>
  <c r="AA55" i="28"/>
  <c r="AE59" i="28"/>
  <c r="AD58" i="28"/>
  <c r="AB64" i="28"/>
  <c r="AC65" i="28"/>
  <c r="AD140" i="28" l="1"/>
  <c r="AE141" i="28"/>
  <c r="AD146" i="28"/>
  <c r="AE147" i="28"/>
  <c r="AD135" i="28"/>
  <c r="AC134" i="28"/>
  <c r="AD144" i="28"/>
  <c r="AC143" i="28"/>
  <c r="AD138" i="28"/>
  <c r="AC137" i="28"/>
  <c r="AD150" i="28"/>
  <c r="AC149" i="28"/>
  <c r="AE53" i="28"/>
  <c r="AD52" i="28"/>
  <c r="AB55" i="28"/>
  <c r="AC56" i="28"/>
  <c r="AF59" i="28"/>
  <c r="AE58" i="28"/>
  <c r="AC61" i="28"/>
  <c r="AD62" i="28"/>
  <c r="AD68" i="28"/>
  <c r="AC67" i="28"/>
  <c r="AD65" i="28"/>
  <c r="AC64" i="28"/>
  <c r="AD134" i="28" l="1"/>
  <c r="AE135" i="28"/>
  <c r="AD149" i="28"/>
  <c r="AE150" i="28"/>
  <c r="AD143" i="28"/>
  <c r="AE144" i="28"/>
  <c r="AF147" i="28"/>
  <c r="AE146" i="28"/>
  <c r="AF141" i="28"/>
  <c r="AE140" i="28"/>
  <c r="AD137" i="28"/>
  <c r="AE138" i="28"/>
  <c r="AE62" i="28"/>
  <c r="AD61" i="28"/>
  <c r="AF58" i="28"/>
  <c r="AG59" i="28"/>
  <c r="AD56" i="28"/>
  <c r="AC55" i="28"/>
  <c r="AE65" i="28"/>
  <c r="AD64" i="28"/>
  <c r="AD67" i="28"/>
  <c r="AE68" i="28"/>
  <c r="AF53" i="28"/>
  <c r="AE52" i="28"/>
  <c r="AF144" i="28" l="1"/>
  <c r="AE143" i="28"/>
  <c r="AF138" i="28"/>
  <c r="AE137" i="28"/>
  <c r="AF150" i="28"/>
  <c r="AE149" i="28"/>
  <c r="AF146" i="28"/>
  <c r="AG147" i="28"/>
  <c r="AF135" i="28"/>
  <c r="AE134" i="28"/>
  <c r="AG141" i="28"/>
  <c r="AF140" i="28"/>
  <c r="AF65" i="28"/>
  <c r="AE64" i="28"/>
  <c r="AH59" i="28"/>
  <c r="AG58" i="28"/>
  <c r="AE56" i="28"/>
  <c r="AD55" i="28"/>
  <c r="AG53" i="28"/>
  <c r="AF52" i="28"/>
  <c r="AF68" i="28"/>
  <c r="AE67" i="28"/>
  <c r="AF62" i="28"/>
  <c r="AE61" i="28"/>
  <c r="AG150" i="28" l="1"/>
  <c r="AF149" i="28"/>
  <c r="AH141" i="28"/>
  <c r="AG140" i="28"/>
  <c r="AF137" i="28"/>
  <c r="AG138" i="28"/>
  <c r="AH147" i="28"/>
  <c r="AG146" i="28"/>
  <c r="AG135" i="28"/>
  <c r="AF134" i="28"/>
  <c r="AG144" i="28"/>
  <c r="AF143" i="28"/>
  <c r="AG52" i="28"/>
  <c r="AH53" i="28"/>
  <c r="AF56" i="28"/>
  <c r="AE55" i="28"/>
  <c r="AF61" i="28"/>
  <c r="AG62" i="28"/>
  <c r="AI59" i="28"/>
  <c r="AH58" i="28"/>
  <c r="AG68" i="28"/>
  <c r="AF67" i="28"/>
  <c r="AF64" i="28"/>
  <c r="AG65" i="28"/>
  <c r="AH138" i="28" l="1"/>
  <c r="AG137" i="28"/>
  <c r="AH144" i="28"/>
  <c r="AG143" i="28"/>
  <c r="AI141" i="28"/>
  <c r="AH140" i="28"/>
  <c r="AI147" i="28"/>
  <c r="AH146" i="28"/>
  <c r="AH135" i="28"/>
  <c r="AG134" i="28"/>
  <c r="AH150" i="28"/>
  <c r="AG149" i="28"/>
  <c r="AJ59" i="28"/>
  <c r="AI58" i="28"/>
  <c r="AH62" i="28"/>
  <c r="AG61" i="28"/>
  <c r="AG64" i="28"/>
  <c r="AH65" i="28"/>
  <c r="AF55" i="28"/>
  <c r="AG56" i="28"/>
  <c r="AI53" i="28"/>
  <c r="AH52" i="28"/>
  <c r="AH68" i="28"/>
  <c r="AG67" i="28"/>
  <c r="AJ141" i="28" l="1"/>
  <c r="AI140" i="28"/>
  <c r="AI150" i="28"/>
  <c r="AH149" i="28"/>
  <c r="AI144" i="28"/>
  <c r="AH143" i="28"/>
  <c r="AJ147" i="28"/>
  <c r="AI146" i="28"/>
  <c r="AI135" i="28"/>
  <c r="AH134" i="28"/>
  <c r="AI138" i="28"/>
  <c r="AH137" i="28"/>
  <c r="AG55" i="28"/>
  <c r="AH56" i="28"/>
  <c r="AI65" i="28"/>
  <c r="AH64" i="28"/>
  <c r="AI62" i="28"/>
  <c r="AH61" i="28"/>
  <c r="AI68" i="28"/>
  <c r="AH67" i="28"/>
  <c r="AJ53" i="28"/>
  <c r="AI52" i="28"/>
  <c r="AJ58" i="28"/>
  <c r="AK59" i="28"/>
  <c r="AJ144" i="28" l="1"/>
  <c r="AI143" i="28"/>
  <c r="AJ138" i="28"/>
  <c r="AI137" i="28"/>
  <c r="AJ150" i="28"/>
  <c r="AI149" i="28"/>
  <c r="AK147" i="28"/>
  <c r="AJ146" i="28"/>
  <c r="AJ135" i="28"/>
  <c r="AI134" i="28"/>
  <c r="AK141" i="28"/>
  <c r="AJ140" i="28"/>
  <c r="AJ68" i="28"/>
  <c r="AI67" i="28"/>
  <c r="AJ62" i="28"/>
  <c r="AI61" i="28"/>
  <c r="AL59" i="28"/>
  <c r="AK58" i="28"/>
  <c r="AI56" i="28"/>
  <c r="AH55" i="28"/>
  <c r="AJ65" i="28"/>
  <c r="AI64" i="28"/>
  <c r="AK53" i="28"/>
  <c r="AJ52" i="28"/>
  <c r="AK144" i="28" l="1"/>
  <c r="AJ143" i="28"/>
  <c r="AK135" i="28"/>
  <c r="AJ134" i="28"/>
  <c r="AL147" i="28"/>
  <c r="AK146" i="28"/>
  <c r="AK150" i="28"/>
  <c r="AJ149" i="28"/>
  <c r="AL141" i="28"/>
  <c r="AK140" i="28"/>
  <c r="AK138" i="28"/>
  <c r="AJ137" i="28"/>
  <c r="AJ56" i="28"/>
  <c r="AI55" i="28"/>
  <c r="AM59" i="28"/>
  <c r="AL58" i="28"/>
  <c r="AK52" i="28"/>
  <c r="AL53" i="28"/>
  <c r="AJ61" i="28"/>
  <c r="AK62" i="28"/>
  <c r="AJ64" i="28"/>
  <c r="AK65" i="28"/>
  <c r="AK68" i="28"/>
  <c r="AJ67" i="28"/>
  <c r="AL140" i="28" l="1"/>
  <c r="AM141" i="28"/>
  <c r="AL146" i="28"/>
  <c r="AM147" i="28"/>
  <c r="AL150" i="28"/>
  <c r="AK149" i="28"/>
  <c r="AL138" i="28"/>
  <c r="AK137" i="28"/>
  <c r="AL135" i="28"/>
  <c r="AK134" i="28"/>
  <c r="AL144" i="28"/>
  <c r="AK143" i="28"/>
  <c r="AL68" i="28"/>
  <c r="AK67" i="28"/>
  <c r="AN59" i="28"/>
  <c r="AM58" i="28"/>
  <c r="AK61" i="28"/>
  <c r="AL62" i="28"/>
  <c r="AL52" i="28"/>
  <c r="AM53" i="28"/>
  <c r="AK64" i="28"/>
  <c r="AL65" i="28"/>
  <c r="AJ55" i="28"/>
  <c r="AK56" i="28"/>
  <c r="AL137" i="28" l="1"/>
  <c r="AM138" i="28"/>
  <c r="AL149" i="28"/>
  <c r="AM150" i="28"/>
  <c r="AN147" i="28"/>
  <c r="AM146" i="28"/>
  <c r="AL143" i="28"/>
  <c r="AM144" i="28"/>
  <c r="AN141" i="28"/>
  <c r="AM140" i="28"/>
  <c r="AM135" i="28"/>
  <c r="AL134" i="28"/>
  <c r="AN53" i="28"/>
  <c r="AM52" i="28"/>
  <c r="AM62" i="28"/>
  <c r="AL61" i="28"/>
  <c r="AL56" i="28"/>
  <c r="AK55" i="28"/>
  <c r="AN58" i="28"/>
  <c r="AO59" i="28"/>
  <c r="AM65" i="28"/>
  <c r="AL64" i="28"/>
  <c r="AL67" i="28"/>
  <c r="AM68" i="28"/>
  <c r="AN144" i="28" l="1"/>
  <c r="AM143" i="28"/>
  <c r="AO147" i="28"/>
  <c r="AN146" i="28"/>
  <c r="AN150" i="28"/>
  <c r="AM149" i="28"/>
  <c r="AN135" i="28"/>
  <c r="AM134" i="28"/>
  <c r="AN138" i="28"/>
  <c r="AM137" i="28"/>
  <c r="AO141" i="28"/>
  <c r="AN140" i="28"/>
  <c r="AM56" i="28"/>
  <c r="AL55" i="28"/>
  <c r="AN68" i="28"/>
  <c r="AM67" i="28"/>
  <c r="AO58" i="28"/>
  <c r="AP59" i="28"/>
  <c r="AN62" i="28"/>
  <c r="AM61" i="28"/>
  <c r="AN65" i="28"/>
  <c r="AM64" i="28"/>
  <c r="AO53" i="28"/>
  <c r="AN52" i="28"/>
  <c r="AO138" i="28" l="1"/>
  <c r="AN137" i="28"/>
  <c r="AO144" i="28"/>
  <c r="AN143" i="28"/>
  <c r="AO135" i="28"/>
  <c r="AN134" i="28"/>
  <c r="AN149" i="28"/>
  <c r="AO150" i="28"/>
  <c r="AP141" i="28"/>
  <c r="AO140" i="28"/>
  <c r="AP147" i="28"/>
  <c r="AO146" i="28"/>
  <c r="AQ59" i="28"/>
  <c r="AP58" i="28"/>
  <c r="AO52" i="28"/>
  <c r="AP53" i="28"/>
  <c r="AN61" i="28"/>
  <c r="AO62" i="28"/>
  <c r="AO68" i="28"/>
  <c r="AN67" i="28"/>
  <c r="AN64" i="28"/>
  <c r="AO65" i="28"/>
  <c r="AN56" i="28"/>
  <c r="AM55" i="28"/>
  <c r="AP135" i="28" l="1"/>
  <c r="AO134" i="28"/>
  <c r="AQ147" i="28"/>
  <c r="AP146" i="28"/>
  <c r="AP144" i="28"/>
  <c r="AO143" i="28"/>
  <c r="AP150" i="28"/>
  <c r="AO149" i="28"/>
  <c r="AQ141" i="28"/>
  <c r="AP140" i="28"/>
  <c r="AP138" i="28"/>
  <c r="AO137" i="28"/>
  <c r="AP62" i="28"/>
  <c r="AO61" i="28"/>
  <c r="AQ53" i="28"/>
  <c r="AP52" i="28"/>
  <c r="AN55" i="28"/>
  <c r="AO56" i="28"/>
  <c r="AP68" i="28"/>
  <c r="AO67" i="28"/>
  <c r="AP65" i="28"/>
  <c r="AO64" i="28"/>
  <c r="AR59" i="28"/>
  <c r="AQ58" i="28"/>
  <c r="AR141" i="28" l="1"/>
  <c r="AQ140" i="28"/>
  <c r="AQ135" i="28"/>
  <c r="AP134" i="28"/>
  <c r="AQ150" i="28"/>
  <c r="AP149" i="28"/>
  <c r="AQ144" i="28"/>
  <c r="AP143" i="28"/>
  <c r="AQ138" i="28"/>
  <c r="AP137" i="28"/>
  <c r="AR147" i="28"/>
  <c r="AQ146" i="28"/>
  <c r="AQ68" i="28"/>
  <c r="AP67" i="28"/>
  <c r="AP56" i="28"/>
  <c r="AO55" i="28"/>
  <c r="AR58" i="28"/>
  <c r="AS59" i="28"/>
  <c r="AR53" i="28"/>
  <c r="AQ52" i="28"/>
  <c r="AQ65" i="28"/>
  <c r="AP64" i="28"/>
  <c r="AQ62" i="28"/>
  <c r="AP61" i="28"/>
  <c r="AR144" i="28" l="1"/>
  <c r="AQ143" i="28"/>
  <c r="AR150" i="28"/>
  <c r="AQ149" i="28"/>
  <c r="AS147" i="28"/>
  <c r="AR146" i="28"/>
  <c r="AR135" i="28"/>
  <c r="AQ134" i="28"/>
  <c r="AR138" i="28"/>
  <c r="AQ137" i="28"/>
  <c r="AS141" i="28"/>
  <c r="AR140" i="28"/>
  <c r="AR68" i="28"/>
  <c r="AQ67" i="28"/>
  <c r="AS53" i="28"/>
  <c r="AR52" i="28"/>
  <c r="AT59" i="28"/>
  <c r="AT58" i="28" s="1"/>
  <c r="AS58" i="28"/>
  <c r="AR65" i="28"/>
  <c r="AQ64" i="28"/>
  <c r="AR62" i="28"/>
  <c r="AQ61" i="28"/>
  <c r="AQ56" i="28"/>
  <c r="AP55" i="28"/>
  <c r="AS135" i="28" l="1"/>
  <c r="AR134" i="28"/>
  <c r="AT147" i="28"/>
  <c r="AT146" i="28" s="1"/>
  <c r="AS146" i="28"/>
  <c r="AS138" i="28"/>
  <c r="AR137" i="28"/>
  <c r="AS144" i="28"/>
  <c r="AR143" i="28"/>
  <c r="AT141" i="28"/>
  <c r="AT140" i="28" s="1"/>
  <c r="AS140" i="28"/>
  <c r="AS150" i="28"/>
  <c r="AR149" i="28"/>
  <c r="AT53" i="28"/>
  <c r="AT52" i="28" s="1"/>
  <c r="AS52" i="28"/>
  <c r="AR64" i="28"/>
  <c r="AS65" i="28"/>
  <c r="AR56" i="28"/>
  <c r="AQ55" i="28"/>
  <c r="AR61" i="28"/>
  <c r="AS62" i="28"/>
  <c r="AS68" i="28"/>
  <c r="AR67" i="28"/>
  <c r="AT138" i="28" l="1"/>
  <c r="AT137" i="28" s="1"/>
  <c r="AS137" i="28"/>
  <c r="AT135" i="28"/>
  <c r="AT134" i="28" s="1"/>
  <c r="AS134" i="28"/>
  <c r="AT144" i="28"/>
  <c r="AT143" i="28" s="1"/>
  <c r="AS143" i="28"/>
  <c r="AT150" i="28"/>
  <c r="AT149" i="28" s="1"/>
  <c r="AS149" i="28"/>
  <c r="AR55" i="28"/>
  <c r="AS56" i="28"/>
  <c r="AT68" i="28"/>
  <c r="AT67" i="28" s="1"/>
  <c r="AS67" i="28"/>
  <c r="AT62" i="28"/>
  <c r="AT61" i="28" s="1"/>
  <c r="AS61" i="28"/>
  <c r="AS64" i="28"/>
  <c r="AT65" i="28"/>
  <c r="AT64" i="28" s="1"/>
  <c r="AS55" i="28" l="1"/>
  <c r="AT56" i="28"/>
  <c r="AT55" i="28" s="1"/>
  <c r="D43" i="19" l="1"/>
  <c r="D39" i="29"/>
  <c r="N138" i="29" l="1"/>
  <c r="M138" i="29"/>
  <c r="L138" i="29"/>
  <c r="K138" i="29"/>
  <c r="J138" i="29"/>
  <c r="I138" i="29"/>
  <c r="H138" i="29"/>
  <c r="G138" i="29"/>
  <c r="F138" i="29"/>
  <c r="E138" i="29"/>
  <c r="D138" i="29"/>
  <c r="N130" i="29"/>
  <c r="M130" i="29"/>
  <c r="L130" i="29"/>
  <c r="K130" i="29"/>
  <c r="J130" i="29"/>
  <c r="I130" i="29"/>
  <c r="H130" i="29"/>
  <c r="G130" i="29"/>
  <c r="F130" i="29"/>
  <c r="E130" i="29"/>
  <c r="D130" i="29"/>
  <c r="D121" i="29"/>
  <c r="E121" i="29" s="1"/>
  <c r="F121" i="29" s="1"/>
  <c r="G121" i="29" s="1"/>
  <c r="H121" i="29" s="1"/>
  <c r="I121" i="29" s="1"/>
  <c r="D120" i="29"/>
  <c r="N107" i="29"/>
  <c r="M107" i="29"/>
  <c r="L107" i="29"/>
  <c r="K107" i="29"/>
  <c r="J107" i="29"/>
  <c r="I107" i="29"/>
  <c r="H107" i="29"/>
  <c r="G107" i="29"/>
  <c r="F107" i="29"/>
  <c r="E107" i="29"/>
  <c r="D107" i="29"/>
  <c r="N99" i="29"/>
  <c r="M99" i="29"/>
  <c r="L99" i="29"/>
  <c r="K99" i="29"/>
  <c r="J99" i="29"/>
  <c r="I99" i="29"/>
  <c r="H99" i="29"/>
  <c r="G99" i="29"/>
  <c r="F99" i="29"/>
  <c r="E99" i="29"/>
  <c r="D99" i="29"/>
  <c r="N90" i="29"/>
  <c r="M90" i="29"/>
  <c r="L90" i="29"/>
  <c r="K90" i="29"/>
  <c r="J90" i="29"/>
  <c r="I90" i="29"/>
  <c r="H90" i="29"/>
  <c r="G90" i="29"/>
  <c r="F90" i="29"/>
  <c r="E90" i="29"/>
  <c r="D90" i="29"/>
  <c r="N89" i="29"/>
  <c r="M89" i="29"/>
  <c r="L89" i="29"/>
  <c r="K89" i="29"/>
  <c r="J89" i="29"/>
  <c r="I89" i="29"/>
  <c r="H89" i="29"/>
  <c r="G89" i="29"/>
  <c r="F89" i="29"/>
  <c r="E89" i="29"/>
  <c r="D89" i="29"/>
  <c r="N75" i="29"/>
  <c r="M75" i="29"/>
  <c r="L75" i="29"/>
  <c r="K75" i="29"/>
  <c r="J75" i="29"/>
  <c r="I75" i="29"/>
  <c r="H75" i="29"/>
  <c r="G75" i="29"/>
  <c r="F75" i="29"/>
  <c r="E75" i="29"/>
  <c r="D75" i="29"/>
  <c r="N69" i="29"/>
  <c r="M69" i="29"/>
  <c r="L69" i="29"/>
  <c r="K69" i="29"/>
  <c r="J69" i="29"/>
  <c r="I69" i="29"/>
  <c r="H69" i="29"/>
  <c r="G69" i="29"/>
  <c r="F69" i="29"/>
  <c r="E69" i="29"/>
  <c r="D69" i="29"/>
  <c r="D61" i="29"/>
  <c r="D63" i="29" s="1"/>
  <c r="D60" i="29"/>
  <c r="D50" i="29"/>
  <c r="D106" i="29" s="1"/>
  <c r="D49" i="29"/>
  <c r="D45" i="29"/>
  <c r="D44" i="29"/>
  <c r="B155" i="28"/>
  <c r="B178" i="28" s="1"/>
  <c r="B73" i="28"/>
  <c r="B96" i="28" s="1"/>
  <c r="E69" i="28"/>
  <c r="E151" i="28" s="1"/>
  <c r="E173" i="28" s="1"/>
  <c r="E196" i="28" s="1"/>
  <c r="E68" i="28"/>
  <c r="E150" i="28" s="1"/>
  <c r="E172" i="28" s="1"/>
  <c r="E195" i="28" s="1"/>
  <c r="E67" i="28"/>
  <c r="E149" i="28" s="1"/>
  <c r="E171" i="28" s="1"/>
  <c r="E194" i="28" s="1"/>
  <c r="D149" i="28"/>
  <c r="D171" i="28" s="1"/>
  <c r="D194" i="28" s="1"/>
  <c r="C67" i="28"/>
  <c r="C149" i="28" s="1"/>
  <c r="C171" i="28" s="1"/>
  <c r="C194" i="28" s="1"/>
  <c r="B67" i="28"/>
  <c r="B149" i="28" s="1"/>
  <c r="B171" i="28" s="1"/>
  <c r="E66" i="28"/>
  <c r="E65" i="28"/>
  <c r="E147" i="28" s="1"/>
  <c r="E169" i="28" s="1"/>
  <c r="E192" i="28" s="1"/>
  <c r="E64" i="28"/>
  <c r="E146" i="28" s="1"/>
  <c r="E168" i="28" s="1"/>
  <c r="E191" i="28" s="1"/>
  <c r="D146" i="28"/>
  <c r="D168" i="28" s="1"/>
  <c r="D191" i="28" s="1"/>
  <c r="C64" i="28"/>
  <c r="C146" i="28" s="1"/>
  <c r="C168" i="28" s="1"/>
  <c r="C191" i="28" s="1"/>
  <c r="B64" i="28"/>
  <c r="B146" i="28" s="1"/>
  <c r="B168" i="28" s="1"/>
  <c r="E63" i="28"/>
  <c r="E145" i="28" s="1"/>
  <c r="E167" i="28" s="1"/>
  <c r="E190" i="28" s="1"/>
  <c r="E62" i="28"/>
  <c r="E144" i="28" s="1"/>
  <c r="E166" i="28" s="1"/>
  <c r="E189" i="28" s="1"/>
  <c r="E61" i="28"/>
  <c r="E143" i="28" s="1"/>
  <c r="E165" i="28" s="1"/>
  <c r="E188" i="28" s="1"/>
  <c r="D143" i="28"/>
  <c r="D165" i="28" s="1"/>
  <c r="D188" i="28" s="1"/>
  <c r="C61" i="28"/>
  <c r="C143" i="28" s="1"/>
  <c r="C165" i="28" s="1"/>
  <c r="C188" i="28" s="1"/>
  <c r="B61" i="28"/>
  <c r="B143" i="28" s="1"/>
  <c r="B165" i="28" s="1"/>
  <c r="E60" i="28"/>
  <c r="E142" i="28" s="1"/>
  <c r="E164" i="28" s="1"/>
  <c r="E187" i="28" s="1"/>
  <c r="E59" i="28"/>
  <c r="E141" i="28" s="1"/>
  <c r="E163" i="28" s="1"/>
  <c r="E186" i="28" s="1"/>
  <c r="E58" i="28"/>
  <c r="E140" i="28" s="1"/>
  <c r="E162" i="28" s="1"/>
  <c r="E185" i="28" s="1"/>
  <c r="D140" i="28"/>
  <c r="D162" i="28" s="1"/>
  <c r="D185" i="28" s="1"/>
  <c r="C58" i="28"/>
  <c r="B58" i="28"/>
  <c r="B140" i="28" s="1"/>
  <c r="B162" i="28" s="1"/>
  <c r="E57" i="28"/>
  <c r="E139" i="28" s="1"/>
  <c r="E161" i="28" s="1"/>
  <c r="E184" i="28" s="1"/>
  <c r="E56" i="28"/>
  <c r="E138" i="28" s="1"/>
  <c r="E160" i="28" s="1"/>
  <c r="E183" i="28" s="1"/>
  <c r="E55" i="28"/>
  <c r="E137" i="28" s="1"/>
  <c r="E159" i="28" s="1"/>
  <c r="E182" i="28" s="1"/>
  <c r="D77" i="28"/>
  <c r="D100" i="28" s="1"/>
  <c r="C55" i="28"/>
  <c r="C137" i="28" s="1"/>
  <c r="C159" i="28" s="1"/>
  <c r="C182" i="28" s="1"/>
  <c r="B55" i="28"/>
  <c r="B137" i="28" s="1"/>
  <c r="B159" i="28" s="1"/>
  <c r="E54" i="28"/>
  <c r="E53" i="28"/>
  <c r="E135" i="28" s="1"/>
  <c r="E157" i="28" s="1"/>
  <c r="E180" i="28" s="1"/>
  <c r="E52" i="28"/>
  <c r="E134" i="28" s="1"/>
  <c r="E156" i="28" s="1"/>
  <c r="E179" i="28" s="1"/>
  <c r="D134" i="28"/>
  <c r="D156" i="28" s="1"/>
  <c r="D179" i="28" s="1"/>
  <c r="C52" i="28"/>
  <c r="C134" i="28" s="1"/>
  <c r="C156" i="28" s="1"/>
  <c r="C179" i="28" s="1"/>
  <c r="B52" i="28"/>
  <c r="B134" i="28" s="1"/>
  <c r="B156" i="28" s="1"/>
  <c r="I41" i="28"/>
  <c r="AX41" i="28"/>
  <c r="I40" i="28"/>
  <c r="AX40" i="28"/>
  <c r="I39" i="28"/>
  <c r="AX39" i="28"/>
  <c r="I38" i="28"/>
  <c r="AX38" i="28"/>
  <c r="I37" i="28"/>
  <c r="AX37" i="28"/>
  <c r="I36" i="28"/>
  <c r="AX36" i="28"/>
  <c r="I35" i="28"/>
  <c r="AX35" i="28"/>
  <c r="I34" i="28"/>
  <c r="AX34" i="28"/>
  <c r="I33" i="28"/>
  <c r="AX33" i="28"/>
  <c r="I32" i="28"/>
  <c r="AX32" i="28"/>
  <c r="I31" i="28"/>
  <c r="AX31" i="28"/>
  <c r="I30" i="28"/>
  <c r="AX30" i="28"/>
  <c r="I29" i="28"/>
  <c r="AX29" i="28"/>
  <c r="I28" i="28"/>
  <c r="AX28" i="28"/>
  <c r="I27" i="28"/>
  <c r="AX27" i="28"/>
  <c r="I26" i="28"/>
  <c r="AX26" i="28"/>
  <c r="I25" i="28"/>
  <c r="I24" i="28"/>
  <c r="D110" i="29" l="1"/>
  <c r="D111" i="29" s="1"/>
  <c r="K93" i="29"/>
  <c r="D92" i="29"/>
  <c r="J92" i="29"/>
  <c r="I92" i="29"/>
  <c r="K92" i="29"/>
  <c r="H92" i="29"/>
  <c r="E92" i="29"/>
  <c r="E106" i="29"/>
  <c r="D137" i="29"/>
  <c r="D141" i="29" s="1"/>
  <c r="D142" i="29" s="1"/>
  <c r="D74" i="29"/>
  <c r="E74" i="29" s="1"/>
  <c r="E77" i="29" s="1"/>
  <c r="E78" i="29" s="1"/>
  <c r="F92" i="29"/>
  <c r="E61" i="29"/>
  <c r="N92" i="29"/>
  <c r="L92" i="29"/>
  <c r="I93" i="29"/>
  <c r="D123" i="29"/>
  <c r="D62" i="29"/>
  <c r="D64" i="29" s="1"/>
  <c r="D65" i="29" s="1"/>
  <c r="E60" i="29"/>
  <c r="I124" i="29"/>
  <c r="J121" i="29"/>
  <c r="K121" i="29" s="1"/>
  <c r="D129" i="29"/>
  <c r="D133" i="29" s="1"/>
  <c r="D134" i="29" s="1"/>
  <c r="D98" i="29"/>
  <c r="D68" i="29"/>
  <c r="D71" i="29" s="1"/>
  <c r="D72" i="29" s="1"/>
  <c r="G92" i="29"/>
  <c r="D93" i="29"/>
  <c r="L93" i="29"/>
  <c r="E120" i="29"/>
  <c r="F120" i="29" s="1"/>
  <c r="D124" i="29"/>
  <c r="E93" i="29"/>
  <c r="M93" i="29"/>
  <c r="E124" i="29"/>
  <c r="F93" i="29"/>
  <c r="N93" i="29"/>
  <c r="F124" i="29"/>
  <c r="G93" i="29"/>
  <c r="G124" i="29"/>
  <c r="H93" i="29"/>
  <c r="H124" i="29"/>
  <c r="M92" i="29"/>
  <c r="J93" i="29"/>
  <c r="E77" i="28"/>
  <c r="E100" i="28" s="1"/>
  <c r="E89" i="28"/>
  <c r="E112" i="28" s="1"/>
  <c r="E83" i="28"/>
  <c r="E106" i="28" s="1"/>
  <c r="E136" i="28"/>
  <c r="E158" i="28" s="1"/>
  <c r="E181" i="28" s="1"/>
  <c r="E76" i="28"/>
  <c r="E99" i="28" s="1"/>
  <c r="C140" i="28"/>
  <c r="C162" i="28" s="1"/>
  <c r="C185" i="28" s="1"/>
  <c r="C80" i="28"/>
  <c r="C103" i="28" s="1"/>
  <c r="E148" i="28"/>
  <c r="E170" i="28" s="1"/>
  <c r="E193" i="28" s="1"/>
  <c r="E88" i="28"/>
  <c r="E111" i="28" s="1"/>
  <c r="B182" i="28"/>
  <c r="AX160" i="28"/>
  <c r="AX161" i="28"/>
  <c r="B194" i="28"/>
  <c r="AX173" i="28"/>
  <c r="AX172" i="28"/>
  <c r="AX171" i="28"/>
  <c r="B74" i="28"/>
  <c r="B80" i="28"/>
  <c r="B86" i="28"/>
  <c r="C74" i="28"/>
  <c r="C97" i="28" s="1"/>
  <c r="E82" i="28"/>
  <c r="E105" i="28" s="1"/>
  <c r="C86" i="28"/>
  <c r="C109" i="28" s="1"/>
  <c r="D137" i="28"/>
  <c r="D159" i="28" s="1"/>
  <c r="D182" i="28" s="1"/>
  <c r="B179" i="28"/>
  <c r="AX156" i="28"/>
  <c r="AX157" i="28"/>
  <c r="B191" i="28"/>
  <c r="AX168" i="28"/>
  <c r="AX169" i="28"/>
  <c r="D74" i="28"/>
  <c r="D97" i="28" s="1"/>
  <c r="E78" i="28"/>
  <c r="E101" i="28" s="1"/>
  <c r="D80" i="28"/>
  <c r="D103" i="28" s="1"/>
  <c r="E84" i="28"/>
  <c r="E107" i="28" s="1"/>
  <c r="D86" i="28"/>
  <c r="D109" i="28" s="1"/>
  <c r="E90" i="28"/>
  <c r="E113" i="28" s="1"/>
  <c r="E74" i="28"/>
  <c r="E97" i="28" s="1"/>
  <c r="E80" i="28"/>
  <c r="E103" i="28" s="1"/>
  <c r="E86" i="28"/>
  <c r="E109" i="28" s="1"/>
  <c r="B188" i="28"/>
  <c r="AX166" i="28"/>
  <c r="AX167" i="28"/>
  <c r="AX165" i="28"/>
  <c r="B77" i="28"/>
  <c r="B83" i="28"/>
  <c r="B89" i="28"/>
  <c r="C77" i="28"/>
  <c r="C100" i="28" s="1"/>
  <c r="E79" i="28"/>
  <c r="E102" i="28" s="1"/>
  <c r="C83" i="28"/>
  <c r="C106" i="28" s="1"/>
  <c r="E85" i="28"/>
  <c r="E108" i="28" s="1"/>
  <c r="C89" i="28"/>
  <c r="C112" i="28" s="1"/>
  <c r="E91" i="28"/>
  <c r="E114" i="28" s="1"/>
  <c r="AX159" i="28"/>
  <c r="B185" i="28"/>
  <c r="E75" i="28"/>
  <c r="E98" i="28" s="1"/>
  <c r="E81" i="28"/>
  <c r="E104" i="28" s="1"/>
  <c r="D83" i="28"/>
  <c r="D106" i="28" s="1"/>
  <c r="E87" i="28"/>
  <c r="E110" i="28" s="1"/>
  <c r="D89" i="28"/>
  <c r="D112" i="28" s="1"/>
  <c r="C19" i="29" l="1"/>
  <c r="AX158" i="28"/>
  <c r="E94" i="29"/>
  <c r="E95" i="29" s="1"/>
  <c r="K94" i="29"/>
  <c r="K95" i="29" s="1"/>
  <c r="E110" i="29"/>
  <c r="E111" i="29" s="1"/>
  <c r="D102" i="29"/>
  <c r="D125" i="29"/>
  <c r="D126" i="29" s="1"/>
  <c r="C21" i="29" s="1"/>
  <c r="J124" i="29"/>
  <c r="N94" i="29"/>
  <c r="F94" i="29"/>
  <c r="F95" i="29" s="1"/>
  <c r="L94" i="29"/>
  <c r="L95" i="29" s="1"/>
  <c r="I94" i="29"/>
  <c r="I95" i="29" s="1"/>
  <c r="D94" i="29"/>
  <c r="F106" i="29"/>
  <c r="G106" i="29" s="1"/>
  <c r="G110" i="29" s="1"/>
  <c r="G111" i="29" s="1"/>
  <c r="M94" i="29"/>
  <c r="M95" i="29" s="1"/>
  <c r="J94" i="29"/>
  <c r="J95" i="29" s="1"/>
  <c r="F74" i="29"/>
  <c r="F77" i="29" s="1"/>
  <c r="F78" i="29" s="1"/>
  <c r="E137" i="29"/>
  <c r="E141" i="29" s="1"/>
  <c r="E142" i="29" s="1"/>
  <c r="F61" i="29"/>
  <c r="E63" i="29"/>
  <c r="D77" i="29"/>
  <c r="D78" i="29" s="1"/>
  <c r="D79" i="29" s="1"/>
  <c r="D81" i="29" s="1"/>
  <c r="E68" i="29"/>
  <c r="E62" i="29"/>
  <c r="F60" i="29"/>
  <c r="G120" i="29"/>
  <c r="F123" i="29"/>
  <c r="F125" i="29" s="1"/>
  <c r="F126" i="29" s="1"/>
  <c r="I98" i="29"/>
  <c r="I102" i="29" s="1"/>
  <c r="I103" i="29" s="1"/>
  <c r="H98" i="29"/>
  <c r="H102" i="29" s="1"/>
  <c r="H103" i="29" s="1"/>
  <c r="G98" i="29"/>
  <c r="G102" i="29" s="1"/>
  <c r="G103" i="29" s="1"/>
  <c r="N98" i="29"/>
  <c r="N102" i="29" s="1"/>
  <c r="N103" i="29" s="1"/>
  <c r="F98" i="29"/>
  <c r="F102" i="29" s="1"/>
  <c r="F103" i="29" s="1"/>
  <c r="M98" i="29"/>
  <c r="M102" i="29" s="1"/>
  <c r="M103" i="29" s="1"/>
  <c r="E98" i="29"/>
  <c r="E102" i="29" s="1"/>
  <c r="E103" i="29" s="1"/>
  <c r="L98" i="29"/>
  <c r="L102" i="29" s="1"/>
  <c r="L103" i="29" s="1"/>
  <c r="K98" i="29"/>
  <c r="K102" i="29" s="1"/>
  <c r="K103" i="29" s="1"/>
  <c r="J98" i="29"/>
  <c r="J102" i="29" s="1"/>
  <c r="J103" i="29" s="1"/>
  <c r="E123" i="29"/>
  <c r="E125" i="29" s="1"/>
  <c r="E126" i="29" s="1"/>
  <c r="E129" i="29"/>
  <c r="E133" i="29" s="1"/>
  <c r="E134" i="29" s="1"/>
  <c r="G94" i="29"/>
  <c r="G95" i="29" s="1"/>
  <c r="H94" i="29"/>
  <c r="H95" i="29" s="1"/>
  <c r="K124" i="29"/>
  <c r="L121" i="29"/>
  <c r="AC168" i="28"/>
  <c r="AC171" i="28"/>
  <c r="AB165" i="28"/>
  <c r="AX163" i="28"/>
  <c r="X163" i="28" s="1"/>
  <c r="AR186" i="28" s="1"/>
  <c r="AX162" i="28"/>
  <c r="R162" i="28" s="1"/>
  <c r="AL185" i="28" s="1"/>
  <c r="AX164" i="28"/>
  <c r="N164" i="28" s="1"/>
  <c r="AH187" i="28" s="1"/>
  <c r="AX170" i="28"/>
  <c r="AK170" i="28" s="1"/>
  <c r="AA156" i="28"/>
  <c r="S156" i="28"/>
  <c r="AM179" i="28" s="1"/>
  <c r="K156" i="28"/>
  <c r="AE179" i="28" s="1"/>
  <c r="Z156" i="28"/>
  <c r="AT179" i="28" s="1"/>
  <c r="R156" i="28"/>
  <c r="AL179" i="28" s="1"/>
  <c r="J156" i="28"/>
  <c r="AD179" i="28" s="1"/>
  <c r="Y156" i="28"/>
  <c r="AS179" i="28" s="1"/>
  <c r="Q156" i="28"/>
  <c r="AK179" i="28" s="1"/>
  <c r="I156" i="28"/>
  <c r="AC179" i="28" s="1"/>
  <c r="X156" i="28"/>
  <c r="AR179" i="28" s="1"/>
  <c r="P156" i="28"/>
  <c r="AJ179" i="28" s="1"/>
  <c r="H156" i="28"/>
  <c r="AB179" i="28" s="1"/>
  <c r="W156" i="28"/>
  <c r="AQ179" i="28" s="1"/>
  <c r="O156" i="28"/>
  <c r="AI179" i="28" s="1"/>
  <c r="G156" i="28"/>
  <c r="AA179" i="28" s="1"/>
  <c r="AD156" i="28"/>
  <c r="V156" i="28"/>
  <c r="AP179" i="28" s="1"/>
  <c r="N156" i="28"/>
  <c r="AH179" i="28" s="1"/>
  <c r="F156" i="28"/>
  <c r="Z179" i="28" s="1"/>
  <c r="AC156" i="28"/>
  <c r="U156" i="28"/>
  <c r="AO179" i="28" s="1"/>
  <c r="M156" i="28"/>
  <c r="AG179" i="28" s="1"/>
  <c r="AB156" i="28"/>
  <c r="T156" i="28"/>
  <c r="AN179" i="28" s="1"/>
  <c r="L156" i="28"/>
  <c r="AF179" i="28" s="1"/>
  <c r="AX81" i="28"/>
  <c r="B103" i="28"/>
  <c r="AX82" i="28"/>
  <c r="AX80" i="28"/>
  <c r="AX187" i="28"/>
  <c r="AX186" i="28"/>
  <c r="AX185" i="28"/>
  <c r="AX190" i="28"/>
  <c r="AX188" i="28"/>
  <c r="AX189" i="28"/>
  <c r="AT158" i="28"/>
  <c r="AS158" i="28"/>
  <c r="AK158" i="28"/>
  <c r="AC158" i="28"/>
  <c r="U158" i="28"/>
  <c r="AO181" i="28" s="1"/>
  <c r="M158" i="28"/>
  <c r="AG181" i="28" s="1"/>
  <c r="AR158" i="28"/>
  <c r="AJ158" i="28"/>
  <c r="AB158" i="28"/>
  <c r="T158" i="28"/>
  <c r="AN181" i="28" s="1"/>
  <c r="L158" i="28"/>
  <c r="AF181" i="28" s="1"/>
  <c r="AQ158" i="28"/>
  <c r="AI158" i="28"/>
  <c r="AA158" i="28"/>
  <c r="S158" i="28"/>
  <c r="AM181" i="28" s="1"/>
  <c r="K158" i="28"/>
  <c r="AE181" i="28" s="1"/>
  <c r="AP158" i="28"/>
  <c r="AH158" i="28"/>
  <c r="Z158" i="28"/>
  <c r="AT181" i="28" s="1"/>
  <c r="R158" i="28"/>
  <c r="AL181" i="28" s="1"/>
  <c r="J158" i="28"/>
  <c r="AD181" i="28" s="1"/>
  <c r="AO158" i="28"/>
  <c r="AG158" i="28"/>
  <c r="Y158" i="28"/>
  <c r="AS181" i="28" s="1"/>
  <c r="Q158" i="28"/>
  <c r="AK181" i="28" s="1"/>
  <c r="I158" i="28"/>
  <c r="AC181" i="28" s="1"/>
  <c r="AN158" i="28"/>
  <c r="AF158" i="28"/>
  <c r="X158" i="28"/>
  <c r="AR181" i="28" s="1"/>
  <c r="P158" i="28"/>
  <c r="AJ181" i="28" s="1"/>
  <c r="H158" i="28"/>
  <c r="AB181" i="28" s="1"/>
  <c r="AM158" i="28"/>
  <c r="AE158" i="28"/>
  <c r="W158" i="28"/>
  <c r="AQ181" i="28" s="1"/>
  <c r="O158" i="28"/>
  <c r="AI181" i="28" s="1"/>
  <c r="G158" i="28"/>
  <c r="AA181" i="28" s="1"/>
  <c r="AL158" i="28"/>
  <c r="AD158" i="28"/>
  <c r="V158" i="28"/>
  <c r="AP181" i="28" s="1"/>
  <c r="N158" i="28"/>
  <c r="AH181" i="28" s="1"/>
  <c r="F158" i="28"/>
  <c r="Z181" i="28" s="1"/>
  <c r="AX75" i="28"/>
  <c r="B97" i="28"/>
  <c r="AX76" i="28"/>
  <c r="AX74" i="28"/>
  <c r="AD172" i="28"/>
  <c r="AX184" i="28"/>
  <c r="AX182" i="28"/>
  <c r="AX183" i="28"/>
  <c r="AE156" i="28"/>
  <c r="AF157" i="28"/>
  <c r="X159" i="28"/>
  <c r="AR182" i="28" s="1"/>
  <c r="P159" i="28"/>
  <c r="AJ182" i="28" s="1"/>
  <c r="H159" i="28"/>
  <c r="AB182" i="28" s="1"/>
  <c r="W159" i="28"/>
  <c r="AQ182" i="28" s="1"/>
  <c r="O159" i="28"/>
  <c r="AI182" i="28" s="1"/>
  <c r="G159" i="28"/>
  <c r="AA182" i="28" s="1"/>
  <c r="V159" i="28"/>
  <c r="AP182" i="28" s="1"/>
  <c r="N159" i="28"/>
  <c r="AH182" i="28" s="1"/>
  <c r="U159" i="28"/>
  <c r="AO182" i="28" s="1"/>
  <c r="J159" i="28"/>
  <c r="AD182" i="28" s="1"/>
  <c r="T159" i="28"/>
  <c r="AN182" i="28" s="1"/>
  <c r="I159" i="28"/>
  <c r="AC182" i="28" s="1"/>
  <c r="S159" i="28"/>
  <c r="AM182" i="28" s="1"/>
  <c r="F159" i="28"/>
  <c r="Z182" i="28" s="1"/>
  <c r="R159" i="28"/>
  <c r="AL182" i="28" s="1"/>
  <c r="AB159" i="28"/>
  <c r="Q159" i="28"/>
  <c r="AK182" i="28" s="1"/>
  <c r="AA159" i="28"/>
  <c r="M159" i="28"/>
  <c r="AG182" i="28" s="1"/>
  <c r="Z159" i="28"/>
  <c r="AT182" i="28" s="1"/>
  <c r="L159" i="28"/>
  <c r="AF182" i="28" s="1"/>
  <c r="Y159" i="28"/>
  <c r="AS182" i="28" s="1"/>
  <c r="K159" i="28"/>
  <c r="AE182" i="28" s="1"/>
  <c r="AX180" i="28"/>
  <c r="AX181" i="28"/>
  <c r="AX179" i="28"/>
  <c r="X171" i="28"/>
  <c r="AR194" i="28" s="1"/>
  <c r="P171" i="28"/>
  <c r="AJ194" i="28" s="1"/>
  <c r="H171" i="28"/>
  <c r="AB194" i="28" s="1"/>
  <c r="W171" i="28"/>
  <c r="AQ194" i="28" s="1"/>
  <c r="O171" i="28"/>
  <c r="AI194" i="28" s="1"/>
  <c r="G171" i="28"/>
  <c r="AA194" i="28" s="1"/>
  <c r="V171" i="28"/>
  <c r="AP194" i="28" s="1"/>
  <c r="N171" i="28"/>
  <c r="AH194" i="28" s="1"/>
  <c r="F171" i="28"/>
  <c r="Z194" i="28" s="1"/>
  <c r="U171" i="28"/>
  <c r="AO194" i="28" s="1"/>
  <c r="M171" i="28"/>
  <c r="AG194" i="28" s="1"/>
  <c r="AB171" i="28"/>
  <c r="T171" i="28"/>
  <c r="AN194" i="28" s="1"/>
  <c r="L171" i="28"/>
  <c r="AF194" i="28" s="1"/>
  <c r="Z171" i="28"/>
  <c r="AT194" i="28" s="1"/>
  <c r="R171" i="28"/>
  <c r="AL194" i="28" s="1"/>
  <c r="J171" i="28"/>
  <c r="AD194" i="28" s="1"/>
  <c r="Y171" i="28"/>
  <c r="AS194" i="28" s="1"/>
  <c r="Q171" i="28"/>
  <c r="AK194" i="28" s="1"/>
  <c r="I171" i="28"/>
  <c r="AC194" i="28" s="1"/>
  <c r="S171" i="28"/>
  <c r="AM194" i="28" s="1"/>
  <c r="K171" i="28"/>
  <c r="AE194" i="28" s="1"/>
  <c r="AA171" i="28"/>
  <c r="B112" i="28"/>
  <c r="AX113" i="28" s="1"/>
  <c r="AX91" i="28"/>
  <c r="AX89" i="28"/>
  <c r="AX90" i="28"/>
  <c r="Y169" i="28"/>
  <c r="AS192" i="28" s="1"/>
  <c r="Q169" i="28"/>
  <c r="AK192" i="28" s="1"/>
  <c r="I169" i="28"/>
  <c r="AC192" i="28" s="1"/>
  <c r="X169" i="28"/>
  <c r="AR192" i="28" s="1"/>
  <c r="P169" i="28"/>
  <c r="AJ192" i="28" s="1"/>
  <c r="H169" i="28"/>
  <c r="AB192" i="28" s="1"/>
  <c r="W169" i="28"/>
  <c r="AQ192" i="28" s="1"/>
  <c r="O169" i="28"/>
  <c r="AI192" i="28" s="1"/>
  <c r="G169" i="28"/>
  <c r="AA192" i="28" s="1"/>
  <c r="AD169" i="28"/>
  <c r="V169" i="28"/>
  <c r="AP192" i="28" s="1"/>
  <c r="N169" i="28"/>
  <c r="AH192" i="28" s="1"/>
  <c r="F169" i="28"/>
  <c r="Z192" i="28" s="1"/>
  <c r="AC169" i="28"/>
  <c r="U169" i="28"/>
  <c r="AO192" i="28" s="1"/>
  <c r="M169" i="28"/>
  <c r="AG192" i="28" s="1"/>
  <c r="AA169" i="28"/>
  <c r="S169" i="28"/>
  <c r="AM192" i="28" s="1"/>
  <c r="K169" i="28"/>
  <c r="AE192" i="28" s="1"/>
  <c r="Z169" i="28"/>
  <c r="AT192" i="28" s="1"/>
  <c r="R169" i="28"/>
  <c r="AL192" i="28" s="1"/>
  <c r="J169" i="28"/>
  <c r="AD192" i="28" s="1"/>
  <c r="AB169" i="28"/>
  <c r="T169" i="28"/>
  <c r="AN192" i="28" s="1"/>
  <c r="L169" i="28"/>
  <c r="AF192" i="28" s="1"/>
  <c r="AA172" i="28"/>
  <c r="S172" i="28"/>
  <c r="AM195" i="28" s="1"/>
  <c r="K172" i="28"/>
  <c r="AE195" i="28" s="1"/>
  <c r="Z172" i="28"/>
  <c r="AT195" i="28" s="1"/>
  <c r="R172" i="28"/>
  <c r="AL195" i="28" s="1"/>
  <c r="Y172" i="28"/>
  <c r="AS195" i="28" s="1"/>
  <c r="Q172" i="28"/>
  <c r="AK195" i="28" s="1"/>
  <c r="X172" i="28"/>
  <c r="AR195" i="28" s="1"/>
  <c r="P172" i="28"/>
  <c r="AJ195" i="28" s="1"/>
  <c r="H172" i="28"/>
  <c r="AB195" i="28" s="1"/>
  <c r="T172" i="28"/>
  <c r="AN195" i="28" s="1"/>
  <c r="F172" i="28"/>
  <c r="Z195" i="28" s="1"/>
  <c r="O172" i="28"/>
  <c r="AI195" i="28" s="1"/>
  <c r="N172" i="28"/>
  <c r="AH195" i="28" s="1"/>
  <c r="M172" i="28"/>
  <c r="AG195" i="28" s="1"/>
  <c r="AB172" i="28"/>
  <c r="L172" i="28"/>
  <c r="AF195" i="28" s="1"/>
  <c r="V172" i="28"/>
  <c r="AP195" i="28" s="1"/>
  <c r="I172" i="28"/>
  <c r="AC195" i="28" s="1"/>
  <c r="U172" i="28"/>
  <c r="AO195" i="28" s="1"/>
  <c r="G172" i="28"/>
  <c r="AA195" i="28" s="1"/>
  <c r="W172" i="28"/>
  <c r="AQ195" i="28" s="1"/>
  <c r="J172" i="28"/>
  <c r="AD195" i="28" s="1"/>
  <c r="AC166" i="28"/>
  <c r="U166" i="28"/>
  <c r="AO189" i="28" s="1"/>
  <c r="M166" i="28"/>
  <c r="AG189" i="28" s="1"/>
  <c r="AB166" i="28"/>
  <c r="T166" i="28"/>
  <c r="AN189" i="28" s="1"/>
  <c r="L166" i="28"/>
  <c r="AF189" i="28" s="1"/>
  <c r="AA166" i="28"/>
  <c r="S166" i="28"/>
  <c r="AM189" i="28" s="1"/>
  <c r="K166" i="28"/>
  <c r="AE189" i="28" s="1"/>
  <c r="Z166" i="28"/>
  <c r="AT189" i="28" s="1"/>
  <c r="R166" i="28"/>
  <c r="AL189" i="28" s="1"/>
  <c r="J166" i="28"/>
  <c r="AD189" i="28" s="1"/>
  <c r="Y166" i="28"/>
  <c r="AS189" i="28" s="1"/>
  <c r="Q166" i="28"/>
  <c r="AK189" i="28" s="1"/>
  <c r="I166" i="28"/>
  <c r="AC189" i="28" s="1"/>
  <c r="W166" i="28"/>
  <c r="AQ189" i="28" s="1"/>
  <c r="O166" i="28"/>
  <c r="AI189" i="28" s="1"/>
  <c r="G166" i="28"/>
  <c r="AA189" i="28" s="1"/>
  <c r="V166" i="28"/>
  <c r="AP189" i="28" s="1"/>
  <c r="N166" i="28"/>
  <c r="AH189" i="28" s="1"/>
  <c r="F166" i="28"/>
  <c r="Z189" i="28" s="1"/>
  <c r="X166" i="28"/>
  <c r="AR189" i="28" s="1"/>
  <c r="P166" i="28"/>
  <c r="AJ189" i="28" s="1"/>
  <c r="H166" i="28"/>
  <c r="AB189" i="28" s="1"/>
  <c r="AD166" i="28"/>
  <c r="AC165" i="28"/>
  <c r="B106" i="28"/>
  <c r="AX85" i="28"/>
  <c r="AX83" i="28"/>
  <c r="AX84" i="28"/>
  <c r="AB168" i="28"/>
  <c r="T168" i="28"/>
  <c r="AN191" i="28" s="1"/>
  <c r="L168" i="28"/>
  <c r="AF191" i="28" s="1"/>
  <c r="AA168" i="28"/>
  <c r="S168" i="28"/>
  <c r="AM191" i="28" s="1"/>
  <c r="K168" i="28"/>
  <c r="AE191" i="28" s="1"/>
  <c r="Z168" i="28"/>
  <c r="AT191" i="28" s="1"/>
  <c r="R168" i="28"/>
  <c r="AL191" i="28" s="1"/>
  <c r="J168" i="28"/>
  <c r="AD191" i="28" s="1"/>
  <c r="Y168" i="28"/>
  <c r="AS191" i="28" s="1"/>
  <c r="Q168" i="28"/>
  <c r="AK191" i="28" s="1"/>
  <c r="I168" i="28"/>
  <c r="AC191" i="28" s="1"/>
  <c r="X168" i="28"/>
  <c r="AR191" i="28" s="1"/>
  <c r="P168" i="28"/>
  <c r="AJ191" i="28" s="1"/>
  <c r="H168" i="28"/>
  <c r="AB191" i="28" s="1"/>
  <c r="V168" i="28"/>
  <c r="AP191" i="28" s="1"/>
  <c r="N168" i="28"/>
  <c r="AH191" i="28" s="1"/>
  <c r="F168" i="28"/>
  <c r="Z191" i="28" s="1"/>
  <c r="U168" i="28"/>
  <c r="AO191" i="28" s="1"/>
  <c r="M168" i="28"/>
  <c r="AG191" i="28" s="1"/>
  <c r="W168" i="28"/>
  <c r="AQ191" i="28" s="1"/>
  <c r="O168" i="28"/>
  <c r="AI191" i="28" s="1"/>
  <c r="G168" i="28"/>
  <c r="AA191" i="28" s="1"/>
  <c r="AN173" i="28"/>
  <c r="AF173" i="28"/>
  <c r="X173" i="28"/>
  <c r="AR196" i="28" s="1"/>
  <c r="P173" i="28"/>
  <c r="AJ196" i="28" s="1"/>
  <c r="H173" i="28"/>
  <c r="AB196" i="28" s="1"/>
  <c r="AM173" i="28"/>
  <c r="AE173" i="28"/>
  <c r="W173" i="28"/>
  <c r="AQ196" i="28" s="1"/>
  <c r="O173" i="28"/>
  <c r="AI196" i="28" s="1"/>
  <c r="G173" i="28"/>
  <c r="AA196" i="28" s="1"/>
  <c r="AT173" i="28"/>
  <c r="AL173" i="28"/>
  <c r="AD173" i="28"/>
  <c r="V173" i="28"/>
  <c r="AP196" i="28" s="1"/>
  <c r="N173" i="28"/>
  <c r="AH196" i="28" s="1"/>
  <c r="F173" i="28"/>
  <c r="Z196" i="28" s="1"/>
  <c r="AS173" i="28"/>
  <c r="AK173" i="28"/>
  <c r="AC173" i="28"/>
  <c r="U173" i="28"/>
  <c r="AO196" i="28" s="1"/>
  <c r="M173" i="28"/>
  <c r="AG196" i="28" s="1"/>
  <c r="AR173" i="28"/>
  <c r="AJ173" i="28"/>
  <c r="AB173" i="28"/>
  <c r="T173" i="28"/>
  <c r="AN196" i="28" s="1"/>
  <c r="L173" i="28"/>
  <c r="AF196" i="28" s="1"/>
  <c r="AP173" i="28"/>
  <c r="AH173" i="28"/>
  <c r="Z173" i="28"/>
  <c r="AT196" i="28" s="1"/>
  <c r="AO173" i="28"/>
  <c r="AG173" i="28"/>
  <c r="Y173" i="28"/>
  <c r="AS196" i="28" s="1"/>
  <c r="J173" i="28"/>
  <c r="AD196" i="28" s="1"/>
  <c r="AQ173" i="28"/>
  <c r="I173" i="28"/>
  <c r="AC196" i="28" s="1"/>
  <c r="AI173" i="28"/>
  <c r="AA173" i="28"/>
  <c r="S173" i="28"/>
  <c r="AM196" i="28" s="1"/>
  <c r="Q173" i="28"/>
  <c r="AK196" i="28" s="1"/>
  <c r="K173" i="28"/>
  <c r="AE196" i="28" s="1"/>
  <c r="R173" i="28"/>
  <c r="AL196" i="28" s="1"/>
  <c r="B100" i="28"/>
  <c r="AX79" i="28"/>
  <c r="AX77" i="28"/>
  <c r="AX78" i="28"/>
  <c r="AX195" i="28"/>
  <c r="AX196" i="28"/>
  <c r="AX194" i="28"/>
  <c r="AD160" i="28"/>
  <c r="AC159" i="28"/>
  <c r="X165" i="28"/>
  <c r="AR188" i="28" s="1"/>
  <c r="P165" i="28"/>
  <c r="AJ188" i="28" s="1"/>
  <c r="H165" i="28"/>
  <c r="AB188" i="28" s="1"/>
  <c r="W165" i="28"/>
  <c r="AQ188" i="28" s="1"/>
  <c r="O165" i="28"/>
  <c r="AI188" i="28" s="1"/>
  <c r="G165" i="28"/>
  <c r="AA188" i="28" s="1"/>
  <c r="V165" i="28"/>
  <c r="AP188" i="28" s="1"/>
  <c r="N165" i="28"/>
  <c r="AH188" i="28" s="1"/>
  <c r="F165" i="28"/>
  <c r="Z188" i="28" s="1"/>
  <c r="U165" i="28"/>
  <c r="AO188" i="28" s="1"/>
  <c r="M165" i="28"/>
  <c r="AG188" i="28" s="1"/>
  <c r="T165" i="28"/>
  <c r="AN188" i="28" s="1"/>
  <c r="L165" i="28"/>
  <c r="AF188" i="28" s="1"/>
  <c r="Z165" i="28"/>
  <c r="AT188" i="28" s="1"/>
  <c r="R165" i="28"/>
  <c r="AL188" i="28" s="1"/>
  <c r="J165" i="28"/>
  <c r="AD188" i="28" s="1"/>
  <c r="Y165" i="28"/>
  <c r="AS188" i="28" s="1"/>
  <c r="Q165" i="28"/>
  <c r="AK188" i="28" s="1"/>
  <c r="I165" i="28"/>
  <c r="AC188" i="28" s="1"/>
  <c r="AA165" i="28"/>
  <c r="S165" i="28"/>
  <c r="AM188" i="28" s="1"/>
  <c r="K165" i="28"/>
  <c r="AE188" i="28" s="1"/>
  <c r="AX193" i="28"/>
  <c r="AX192" i="28"/>
  <c r="AX191" i="28"/>
  <c r="AP161" i="28"/>
  <c r="AH161" i="28"/>
  <c r="Z161" i="28"/>
  <c r="AT184" i="28" s="1"/>
  <c r="R161" i="28"/>
  <c r="AL184" i="28" s="1"/>
  <c r="J161" i="28"/>
  <c r="AD184" i="28" s="1"/>
  <c r="AO161" i="28"/>
  <c r="AG161" i="28"/>
  <c r="Y161" i="28"/>
  <c r="AS184" i="28" s="1"/>
  <c r="Q161" i="28"/>
  <c r="AK184" i="28" s="1"/>
  <c r="I161" i="28"/>
  <c r="AC184" i="28" s="1"/>
  <c r="AN161" i="28"/>
  <c r="AF161" i="28"/>
  <c r="X161" i="28"/>
  <c r="AR184" i="28" s="1"/>
  <c r="P161" i="28"/>
  <c r="AJ184" i="28" s="1"/>
  <c r="H161" i="28"/>
  <c r="AB184" i="28" s="1"/>
  <c r="AM161" i="28"/>
  <c r="AE161" i="28"/>
  <c r="W161" i="28"/>
  <c r="AQ184" i="28" s="1"/>
  <c r="O161" i="28"/>
  <c r="AI184" i="28" s="1"/>
  <c r="G161" i="28"/>
  <c r="AA184" i="28" s="1"/>
  <c r="AR161" i="28"/>
  <c r="AJ161" i="28"/>
  <c r="AB161" i="28"/>
  <c r="T161" i="28"/>
  <c r="AN184" i="28" s="1"/>
  <c r="L161" i="28"/>
  <c r="AF184" i="28" s="1"/>
  <c r="AQ161" i="28"/>
  <c r="AI161" i="28"/>
  <c r="AL161" i="28"/>
  <c r="N161" i="28"/>
  <c r="AH184" i="28" s="1"/>
  <c r="AK161" i="28"/>
  <c r="M161" i="28"/>
  <c r="AG184" i="28" s="1"/>
  <c r="AD161" i="28"/>
  <c r="K161" i="28"/>
  <c r="AE184" i="28" s="1"/>
  <c r="AC161" i="28"/>
  <c r="F161" i="28"/>
  <c r="Z184" i="28" s="1"/>
  <c r="AA161" i="28"/>
  <c r="V161" i="28"/>
  <c r="AP184" i="28" s="1"/>
  <c r="AT161" i="28"/>
  <c r="U161" i="28"/>
  <c r="AO184" i="28" s="1"/>
  <c r="AS161" i="28"/>
  <c r="S161" i="28"/>
  <c r="AM184" i="28" s="1"/>
  <c r="AD168" i="28"/>
  <c r="AE169" i="28"/>
  <c r="AP167" i="28"/>
  <c r="AH167" i="28"/>
  <c r="Z167" i="28"/>
  <c r="AT190" i="28" s="1"/>
  <c r="R167" i="28"/>
  <c r="AL190" i="28" s="1"/>
  <c r="J167" i="28"/>
  <c r="AD190" i="28" s="1"/>
  <c r="AO167" i="28"/>
  <c r="AG167" i="28"/>
  <c r="Y167" i="28"/>
  <c r="AS190" i="28" s="1"/>
  <c r="Q167" i="28"/>
  <c r="AK190" i="28" s="1"/>
  <c r="I167" i="28"/>
  <c r="AC190" i="28" s="1"/>
  <c r="AN167" i="28"/>
  <c r="AF167" i="28"/>
  <c r="X167" i="28"/>
  <c r="AR190" i="28" s="1"/>
  <c r="P167" i="28"/>
  <c r="AJ190" i="28" s="1"/>
  <c r="H167" i="28"/>
  <c r="AB190" i="28" s="1"/>
  <c r="AM167" i="28"/>
  <c r="AE167" i="28"/>
  <c r="W167" i="28"/>
  <c r="AQ190" i="28" s="1"/>
  <c r="O167" i="28"/>
  <c r="AI190" i="28" s="1"/>
  <c r="G167" i="28"/>
  <c r="AA190" i="28" s="1"/>
  <c r="AT167" i="28"/>
  <c r="AL167" i="28"/>
  <c r="AD167" i="28"/>
  <c r="V167" i="28"/>
  <c r="AP190" i="28" s="1"/>
  <c r="N167" i="28"/>
  <c r="AH190" i="28" s="1"/>
  <c r="F167" i="28"/>
  <c r="Z190" i="28" s="1"/>
  <c r="AR167" i="28"/>
  <c r="AJ167" i="28"/>
  <c r="AB167" i="28"/>
  <c r="T167" i="28"/>
  <c r="AN190" i="28" s="1"/>
  <c r="L167" i="28"/>
  <c r="AF190" i="28" s="1"/>
  <c r="AQ167" i="28"/>
  <c r="AI167" i="28"/>
  <c r="AA167" i="28"/>
  <c r="S167" i="28"/>
  <c r="AM190" i="28" s="1"/>
  <c r="K167" i="28"/>
  <c r="AE190" i="28" s="1"/>
  <c r="AS167" i="28"/>
  <c r="AK167" i="28"/>
  <c r="AC167" i="28"/>
  <c r="U167" i="28"/>
  <c r="AO190" i="28" s="1"/>
  <c r="M167" i="28"/>
  <c r="AG190" i="28" s="1"/>
  <c r="X157" i="28"/>
  <c r="AR180" i="28" s="1"/>
  <c r="P157" i="28"/>
  <c r="AJ180" i="28" s="1"/>
  <c r="H157" i="28"/>
  <c r="AB180" i="28" s="1"/>
  <c r="AE157" i="28"/>
  <c r="W157" i="28"/>
  <c r="AQ180" i="28" s="1"/>
  <c r="O157" i="28"/>
  <c r="AI180" i="28" s="1"/>
  <c r="G157" i="28"/>
  <c r="AA180" i="28" s="1"/>
  <c r="AD157" i="28"/>
  <c r="V157" i="28"/>
  <c r="AP180" i="28" s="1"/>
  <c r="N157" i="28"/>
  <c r="AH180" i="28" s="1"/>
  <c r="F157" i="28"/>
  <c r="Z180" i="28" s="1"/>
  <c r="AC157" i="28"/>
  <c r="U157" i="28"/>
  <c r="AO180" i="28" s="1"/>
  <c r="M157" i="28"/>
  <c r="AG180" i="28" s="1"/>
  <c r="AB157" i="28"/>
  <c r="T157" i="28"/>
  <c r="AN180" i="28" s="1"/>
  <c r="L157" i="28"/>
  <c r="AF180" i="28" s="1"/>
  <c r="AA157" i="28"/>
  <c r="S157" i="28"/>
  <c r="AM180" i="28" s="1"/>
  <c r="K157" i="28"/>
  <c r="AE180" i="28" s="1"/>
  <c r="Z157" i="28"/>
  <c r="AT180" i="28" s="1"/>
  <c r="R157" i="28"/>
  <c r="AL180" i="28" s="1"/>
  <c r="J157" i="28"/>
  <c r="AD180" i="28" s="1"/>
  <c r="Q157" i="28"/>
  <c r="AK180" i="28" s="1"/>
  <c r="I157" i="28"/>
  <c r="AC180" i="28" s="1"/>
  <c r="Y157" i="28"/>
  <c r="AS180" i="28" s="1"/>
  <c r="B109" i="28"/>
  <c r="AX87" i="28"/>
  <c r="AX88" i="28"/>
  <c r="AX86" i="28"/>
  <c r="AC160" i="28"/>
  <c r="U160" i="28"/>
  <c r="AO183" i="28" s="1"/>
  <c r="M160" i="28"/>
  <c r="AG183" i="28" s="1"/>
  <c r="AB160" i="28"/>
  <c r="T160" i="28"/>
  <c r="AN183" i="28" s="1"/>
  <c r="L160" i="28"/>
  <c r="AF183" i="28" s="1"/>
  <c r="AA160" i="28"/>
  <c r="S160" i="28"/>
  <c r="AM183" i="28" s="1"/>
  <c r="K160" i="28"/>
  <c r="AE183" i="28" s="1"/>
  <c r="Z160" i="28"/>
  <c r="AT183" i="28" s="1"/>
  <c r="R160" i="28"/>
  <c r="AL183" i="28" s="1"/>
  <c r="J160" i="28"/>
  <c r="AD183" i="28" s="1"/>
  <c r="W160" i="28"/>
  <c r="AQ183" i="28" s="1"/>
  <c r="O160" i="28"/>
  <c r="AI183" i="28" s="1"/>
  <c r="G160" i="28"/>
  <c r="AA183" i="28" s="1"/>
  <c r="P160" i="28"/>
  <c r="AJ183" i="28" s="1"/>
  <c r="N160" i="28"/>
  <c r="AH183" i="28" s="1"/>
  <c r="I160" i="28"/>
  <c r="AC183" i="28" s="1"/>
  <c r="H160" i="28"/>
  <c r="AB183" i="28" s="1"/>
  <c r="Y160" i="28"/>
  <c r="AS183" i="28" s="1"/>
  <c r="F160" i="28"/>
  <c r="Z183" i="28" s="1"/>
  <c r="X160" i="28"/>
  <c r="AR183" i="28" s="1"/>
  <c r="V160" i="28"/>
  <c r="AP183" i="28" s="1"/>
  <c r="Q160" i="28"/>
  <c r="AK183" i="28" s="1"/>
  <c r="AS76" i="28" l="1"/>
  <c r="I76" i="28"/>
  <c r="D103" i="29"/>
  <c r="D112" i="29" s="1"/>
  <c r="C15" i="29" s="1"/>
  <c r="N95" i="29"/>
  <c r="D20" i="29" s="1"/>
  <c r="D95" i="29"/>
  <c r="C20" i="29" s="1"/>
  <c r="I163" i="28"/>
  <c r="AC186" i="28" s="1"/>
  <c r="Z163" i="28"/>
  <c r="AT186" i="28" s="1"/>
  <c r="N163" i="28"/>
  <c r="AH186" i="28" s="1"/>
  <c r="S163" i="28"/>
  <c r="AM186" i="28" s="1"/>
  <c r="L163" i="28"/>
  <c r="AF186" i="28" s="1"/>
  <c r="AA163" i="28"/>
  <c r="O163" i="28"/>
  <c r="AI186" i="28" s="1"/>
  <c r="V163" i="28"/>
  <c r="AP186" i="28" s="1"/>
  <c r="G163" i="28"/>
  <c r="AA186" i="28" s="1"/>
  <c r="Q163" i="28"/>
  <c r="AK186" i="28" s="1"/>
  <c r="M163" i="28"/>
  <c r="AG186" i="28" s="1"/>
  <c r="W163" i="28"/>
  <c r="AQ186" i="28" s="1"/>
  <c r="AB163" i="28"/>
  <c r="U163" i="28"/>
  <c r="AO186" i="28" s="1"/>
  <c r="H163" i="28"/>
  <c r="AB186" i="28" s="1"/>
  <c r="K163" i="28"/>
  <c r="AE186" i="28" s="1"/>
  <c r="J163" i="28"/>
  <c r="AD186" i="28" s="1"/>
  <c r="AC163" i="28"/>
  <c r="P163" i="28"/>
  <c r="AJ186" i="28" s="1"/>
  <c r="Y163" i="28"/>
  <c r="AS186" i="28" s="1"/>
  <c r="T163" i="28"/>
  <c r="AN186" i="28" s="1"/>
  <c r="R163" i="28"/>
  <c r="AL186" i="28" s="1"/>
  <c r="F163" i="28"/>
  <c r="I186" i="28" s="1"/>
  <c r="F110" i="29"/>
  <c r="F111" i="29" s="1"/>
  <c r="G74" i="29"/>
  <c r="G77" i="29" s="1"/>
  <c r="G78" i="29" s="1"/>
  <c r="C14" i="29"/>
  <c r="C24" i="29" s="1"/>
  <c r="D143" i="29"/>
  <c r="E64" i="29"/>
  <c r="E65" i="29" s="1"/>
  <c r="G61" i="29"/>
  <c r="F63" i="29"/>
  <c r="E112" i="29"/>
  <c r="E114" i="29" s="1"/>
  <c r="F137" i="29"/>
  <c r="F141" i="29" s="1"/>
  <c r="F142" i="29" s="1"/>
  <c r="M121" i="29"/>
  <c r="L124" i="29"/>
  <c r="F68" i="29"/>
  <c r="E71" i="29"/>
  <c r="H106" i="29"/>
  <c r="H110" i="29" s="1"/>
  <c r="H111" i="29" s="1"/>
  <c r="F129" i="29"/>
  <c r="F133" i="29" s="1"/>
  <c r="F134" i="29" s="1"/>
  <c r="H120" i="29"/>
  <c r="G123" i="29"/>
  <c r="G125" i="29" s="1"/>
  <c r="G126" i="29" s="1"/>
  <c r="G60" i="29"/>
  <c r="F62" i="29"/>
  <c r="N162" i="28"/>
  <c r="AH185" i="28" s="1"/>
  <c r="P162" i="28"/>
  <c r="AJ185" i="28" s="1"/>
  <c r="G162" i="28"/>
  <c r="AA185" i="28" s="1"/>
  <c r="AA162" i="28"/>
  <c r="O162" i="28"/>
  <c r="AI185" i="28" s="1"/>
  <c r="X162" i="28"/>
  <c r="AR185" i="28" s="1"/>
  <c r="I162" i="28"/>
  <c r="AC185" i="28" s="1"/>
  <c r="Z162" i="28"/>
  <c r="AT185" i="28" s="1"/>
  <c r="S162" i="28"/>
  <c r="AM185" i="28" s="1"/>
  <c r="H162" i="28"/>
  <c r="AB185" i="28" s="1"/>
  <c r="V162" i="28"/>
  <c r="AP185" i="28" s="1"/>
  <c r="K162" i="28"/>
  <c r="AE185" i="28" s="1"/>
  <c r="W162" i="28"/>
  <c r="AQ185" i="28" s="1"/>
  <c r="Q162" i="28"/>
  <c r="AK185" i="28" s="1"/>
  <c r="L162" i="28"/>
  <c r="AF185" i="28" s="1"/>
  <c r="M162" i="28"/>
  <c r="AG185" i="28" s="1"/>
  <c r="Y162" i="28"/>
  <c r="AS185" i="28" s="1"/>
  <c r="T162" i="28"/>
  <c r="AN185" i="28" s="1"/>
  <c r="U162" i="28"/>
  <c r="AO185" i="28" s="1"/>
  <c r="J162" i="28"/>
  <c r="AD185" i="28" s="1"/>
  <c r="AB162" i="28"/>
  <c r="F162" i="28"/>
  <c r="Z185" i="28" s="1"/>
  <c r="AD163" i="28"/>
  <c r="S164" i="28"/>
  <c r="AM187" i="28" s="1"/>
  <c r="AC164" i="28"/>
  <c r="AJ170" i="28"/>
  <c r="N170" i="28"/>
  <c r="AH193" i="28" s="1"/>
  <c r="AQ164" i="28"/>
  <c r="V164" i="28"/>
  <c r="AP187" i="28" s="1"/>
  <c r="Q164" i="28"/>
  <c r="AK187" i="28" s="1"/>
  <c r="AT164" i="28"/>
  <c r="G164" i="28"/>
  <c r="AA187" i="28" s="1"/>
  <c r="AE164" i="28"/>
  <c r="R164" i="28"/>
  <c r="AL187" i="28" s="1"/>
  <c r="W164" i="28"/>
  <c r="AQ187" i="28" s="1"/>
  <c r="AI164" i="28"/>
  <c r="AL164" i="28"/>
  <c r="P164" i="28"/>
  <c r="AJ187" i="28" s="1"/>
  <c r="AB164" i="28"/>
  <c r="AC172" i="28"/>
  <c r="AF164" i="28"/>
  <c r="AR164" i="28"/>
  <c r="J164" i="28"/>
  <c r="AD187" i="28" s="1"/>
  <c r="U164" i="28"/>
  <c r="AO187" i="28" s="1"/>
  <c r="AO164" i="28"/>
  <c r="AP164" i="28"/>
  <c r="F164" i="28"/>
  <c r="AO170" i="28"/>
  <c r="X170" i="28"/>
  <c r="AR193" i="28" s="1"/>
  <c r="K170" i="28"/>
  <c r="AE193" i="28" s="1"/>
  <c r="Y170" i="28"/>
  <c r="AS193" i="28" s="1"/>
  <c r="H170" i="28"/>
  <c r="AB193" i="28" s="1"/>
  <c r="AH170" i="28"/>
  <c r="T170" i="28"/>
  <c r="AN193" i="28" s="1"/>
  <c r="AS170" i="28"/>
  <c r="AG170" i="28"/>
  <c r="P170" i="28"/>
  <c r="AJ193" i="28" s="1"/>
  <c r="AP170" i="28"/>
  <c r="AB170" i="28"/>
  <c r="F170" i="28"/>
  <c r="O164" i="28"/>
  <c r="AI187" i="28" s="1"/>
  <c r="AN164" i="28"/>
  <c r="AA164" i="28"/>
  <c r="M164" i="28"/>
  <c r="AG187" i="28" s="1"/>
  <c r="AD164" i="28"/>
  <c r="AC162" i="28"/>
  <c r="O170" i="28"/>
  <c r="AI193" i="28" s="1"/>
  <c r="AN170" i="28"/>
  <c r="AA170" i="28"/>
  <c r="M170" i="28"/>
  <c r="AG193" i="28" s="1"/>
  <c r="AD170" i="28"/>
  <c r="Y164" i="28"/>
  <c r="AS187" i="28" s="1"/>
  <c r="AM164" i="28"/>
  <c r="Z164" i="28"/>
  <c r="AT187" i="28" s="1"/>
  <c r="L164" i="28"/>
  <c r="AF187" i="28" s="1"/>
  <c r="AK164" i="28"/>
  <c r="G170" i="28"/>
  <c r="AA193" i="28" s="1"/>
  <c r="AF170" i="28"/>
  <c r="S170" i="28"/>
  <c r="AM193" i="28" s="1"/>
  <c r="AR170" i="28"/>
  <c r="V170" i="28"/>
  <c r="AP193" i="28" s="1"/>
  <c r="W170" i="28"/>
  <c r="AQ193" i="28" s="1"/>
  <c r="J170" i="28"/>
  <c r="AD193" i="28" s="1"/>
  <c r="AI170" i="28"/>
  <c r="U170" i="28"/>
  <c r="AO193" i="28" s="1"/>
  <c r="AL170" i="28"/>
  <c r="AG164" i="28"/>
  <c r="H164" i="28"/>
  <c r="AB187" i="28" s="1"/>
  <c r="AH164" i="28"/>
  <c r="T164" i="28"/>
  <c r="AN187" i="28" s="1"/>
  <c r="AS164" i="28"/>
  <c r="I170" i="28"/>
  <c r="AC193" i="28" s="1"/>
  <c r="AE170" i="28"/>
  <c r="R170" i="28"/>
  <c r="AL193" i="28" s="1"/>
  <c r="AQ170" i="28"/>
  <c r="AC170" i="28"/>
  <c r="AT170" i="28"/>
  <c r="Q170" i="28"/>
  <c r="AK193" i="28" s="1"/>
  <c r="AM170" i="28"/>
  <c r="Z170" i="28"/>
  <c r="AT193" i="28" s="1"/>
  <c r="L170" i="28"/>
  <c r="AF193" i="28" s="1"/>
  <c r="I164" i="28"/>
  <c r="AC187" i="28" s="1"/>
  <c r="X164" i="28"/>
  <c r="AR187" i="28" s="1"/>
  <c r="K164" i="28"/>
  <c r="AE187" i="28" s="1"/>
  <c r="AJ164" i="28"/>
  <c r="V184" i="28"/>
  <c r="N184" i="28"/>
  <c r="F184" i="28"/>
  <c r="U184" i="28"/>
  <c r="M184" i="28"/>
  <c r="T184" i="28"/>
  <c r="L184" i="28"/>
  <c r="S184" i="28"/>
  <c r="K184" i="28"/>
  <c r="R184" i="28"/>
  <c r="J184" i="28"/>
  <c r="X184" i="28"/>
  <c r="P184" i="28"/>
  <c r="H184" i="28"/>
  <c r="W184" i="28"/>
  <c r="O184" i="28"/>
  <c r="G184" i="28"/>
  <c r="Q184" i="28"/>
  <c r="I184" i="28"/>
  <c r="Y184" i="28"/>
  <c r="W189" i="28"/>
  <c r="O189" i="28"/>
  <c r="G189" i="28"/>
  <c r="V189" i="28"/>
  <c r="N189" i="28"/>
  <c r="F189" i="28"/>
  <c r="T189" i="28"/>
  <c r="L189" i="28"/>
  <c r="S189" i="28"/>
  <c r="K189" i="28"/>
  <c r="X189" i="28"/>
  <c r="P189" i="28"/>
  <c r="H189" i="28"/>
  <c r="Y189" i="28"/>
  <c r="U189" i="28"/>
  <c r="R189" i="28"/>
  <c r="Q189" i="28"/>
  <c r="J189" i="28"/>
  <c r="I189" i="28"/>
  <c r="M189" i="28"/>
  <c r="R195" i="28"/>
  <c r="J195" i="28"/>
  <c r="Y195" i="28"/>
  <c r="Q195" i="28"/>
  <c r="I195" i="28"/>
  <c r="X195" i="28"/>
  <c r="P195" i="28"/>
  <c r="H195" i="28"/>
  <c r="U195" i="28"/>
  <c r="G195" i="28"/>
  <c r="T195" i="28"/>
  <c r="F195" i="28"/>
  <c r="O195" i="28"/>
  <c r="N195" i="28"/>
  <c r="V195" i="28"/>
  <c r="K195" i="28"/>
  <c r="W195" i="28"/>
  <c r="S195" i="28"/>
  <c r="M195" i="28"/>
  <c r="L195" i="28"/>
  <c r="AT91" i="28"/>
  <c r="AL91" i="28"/>
  <c r="AD91" i="28"/>
  <c r="V91" i="28"/>
  <c r="AP114" i="28" s="1"/>
  <c r="N91" i="28"/>
  <c r="AH114" i="28" s="1"/>
  <c r="F91" i="28"/>
  <c r="AS91" i="28"/>
  <c r="AK91" i="28"/>
  <c r="AC91" i="28"/>
  <c r="U91" i="28"/>
  <c r="AO114" i="28" s="1"/>
  <c r="M91" i="28"/>
  <c r="AG114" i="28" s="1"/>
  <c r="AR91" i="28"/>
  <c r="AJ91" i="28"/>
  <c r="AB91" i="28"/>
  <c r="T91" i="28"/>
  <c r="AN114" i="28" s="1"/>
  <c r="L91" i="28"/>
  <c r="AF114" i="28" s="1"/>
  <c r="AQ91" i="28"/>
  <c r="AI91" i="28"/>
  <c r="AA91" i="28"/>
  <c r="S91" i="28"/>
  <c r="AM114" i="28" s="1"/>
  <c r="K91" i="28"/>
  <c r="AE114" i="28" s="1"/>
  <c r="AP91" i="28"/>
  <c r="AH91" i="28"/>
  <c r="Z91" i="28"/>
  <c r="AT114" i="28" s="1"/>
  <c r="R91" i="28"/>
  <c r="AL114" i="28" s="1"/>
  <c r="J91" i="28"/>
  <c r="AD114" i="28" s="1"/>
  <c r="AO91" i="28"/>
  <c r="AG91" i="28"/>
  <c r="Y91" i="28"/>
  <c r="AS114" i="28" s="1"/>
  <c r="Q91" i="28"/>
  <c r="AK114" i="28" s="1"/>
  <c r="I91" i="28"/>
  <c r="AC114" i="28" s="1"/>
  <c r="AN91" i="28"/>
  <c r="AF91" i="28"/>
  <c r="X91" i="28"/>
  <c r="AR114" i="28" s="1"/>
  <c r="P91" i="28"/>
  <c r="AJ114" i="28" s="1"/>
  <c r="H91" i="28"/>
  <c r="AB114" i="28" s="1"/>
  <c r="W91" i="28"/>
  <c r="AQ114" i="28" s="1"/>
  <c r="O91" i="28"/>
  <c r="AI114" i="28" s="1"/>
  <c r="G91" i="28"/>
  <c r="AA114" i="28" s="1"/>
  <c r="AM91" i="28"/>
  <c r="AE91" i="28"/>
  <c r="AX99" i="28"/>
  <c r="AX97" i="28"/>
  <c r="AX98" i="28"/>
  <c r="AN86" i="28"/>
  <c r="AF86" i="28"/>
  <c r="X86" i="28"/>
  <c r="AR109" i="28" s="1"/>
  <c r="P86" i="28"/>
  <c r="AJ109" i="28" s="1"/>
  <c r="H86" i="28"/>
  <c r="AB109" i="28" s="1"/>
  <c r="AM86" i="28"/>
  <c r="AE86" i="28"/>
  <c r="W86" i="28"/>
  <c r="AQ109" i="28" s="1"/>
  <c r="O86" i="28"/>
  <c r="AI109" i="28" s="1"/>
  <c r="G86" i="28"/>
  <c r="AA109" i="28" s="1"/>
  <c r="AT86" i="28"/>
  <c r="AL86" i="28"/>
  <c r="AD86" i="28"/>
  <c r="V86" i="28"/>
  <c r="AP109" i="28" s="1"/>
  <c r="N86" i="28"/>
  <c r="AH109" i="28" s="1"/>
  <c r="F86" i="28"/>
  <c r="AS86" i="28"/>
  <c r="AK86" i="28"/>
  <c r="AC86" i="28"/>
  <c r="U86" i="28"/>
  <c r="AO109" i="28" s="1"/>
  <c r="M86" i="28"/>
  <c r="AG109" i="28" s="1"/>
  <c r="AR86" i="28"/>
  <c r="AJ86" i="28"/>
  <c r="AB86" i="28"/>
  <c r="T86" i="28"/>
  <c r="AN109" i="28" s="1"/>
  <c r="L86" i="28"/>
  <c r="AF109" i="28" s="1"/>
  <c r="AQ86" i="28"/>
  <c r="AI86" i="28"/>
  <c r="AA86" i="28"/>
  <c r="S86" i="28"/>
  <c r="AM109" i="28" s="1"/>
  <c r="K86" i="28"/>
  <c r="AE109" i="28" s="1"/>
  <c r="AP86" i="28"/>
  <c r="AH86" i="28"/>
  <c r="Z86" i="28"/>
  <c r="AT109" i="28" s="1"/>
  <c r="R86" i="28"/>
  <c r="AL109" i="28" s="1"/>
  <c r="J86" i="28"/>
  <c r="AD109" i="28" s="1"/>
  <c r="AO86" i="28"/>
  <c r="AG86" i="28"/>
  <c r="Y86" i="28"/>
  <c r="AS109" i="28" s="1"/>
  <c r="Q86" i="28"/>
  <c r="AK109" i="28" s="1"/>
  <c r="I86" i="28"/>
  <c r="AC109" i="28" s="1"/>
  <c r="AD159" i="28"/>
  <c r="AX102" i="28"/>
  <c r="AX100" i="28"/>
  <c r="AX101" i="28"/>
  <c r="S192" i="28"/>
  <c r="K192" i="28"/>
  <c r="R192" i="28"/>
  <c r="J192" i="28"/>
  <c r="X192" i="28"/>
  <c r="P192" i="28"/>
  <c r="H192" i="28"/>
  <c r="W192" i="28"/>
  <c r="O192" i="28"/>
  <c r="G192" i="28"/>
  <c r="T192" i="28"/>
  <c r="L192" i="28"/>
  <c r="V192" i="28"/>
  <c r="U192" i="28"/>
  <c r="Q192" i="28"/>
  <c r="N192" i="28"/>
  <c r="M192" i="28"/>
  <c r="F192" i="28"/>
  <c r="Y192" i="28"/>
  <c r="I192" i="28"/>
  <c r="AX114" i="28"/>
  <c r="AX112" i="28"/>
  <c r="AS75" i="28"/>
  <c r="AK75" i="28"/>
  <c r="AC75" i="28"/>
  <c r="U75" i="28"/>
  <c r="AO98" i="28" s="1"/>
  <c r="M75" i="28"/>
  <c r="AG98" i="28" s="1"/>
  <c r="AR75" i="28"/>
  <c r="AJ75" i="28"/>
  <c r="AB75" i="28"/>
  <c r="T75" i="28"/>
  <c r="AN98" i="28" s="1"/>
  <c r="L75" i="28"/>
  <c r="AF98" i="28" s="1"/>
  <c r="AQ75" i="28"/>
  <c r="AI75" i="28"/>
  <c r="AA75" i="28"/>
  <c r="S75" i="28"/>
  <c r="AM98" i="28" s="1"/>
  <c r="K75" i="28"/>
  <c r="AE98" i="28" s="1"/>
  <c r="AP75" i="28"/>
  <c r="AH75" i="28"/>
  <c r="Z75" i="28"/>
  <c r="AT98" i="28" s="1"/>
  <c r="R75" i="28"/>
  <c r="AL98" i="28" s="1"/>
  <c r="J75" i="28"/>
  <c r="AD98" i="28" s="1"/>
  <c r="AO75" i="28"/>
  <c r="AG75" i="28"/>
  <c r="Y75" i="28"/>
  <c r="AS98" i="28" s="1"/>
  <c r="Q75" i="28"/>
  <c r="AK98" i="28" s="1"/>
  <c r="I75" i="28"/>
  <c r="AC98" i="28" s="1"/>
  <c r="AN75" i="28"/>
  <c r="AF75" i="28"/>
  <c r="X75" i="28"/>
  <c r="AR98" i="28" s="1"/>
  <c r="P75" i="28"/>
  <c r="AJ98" i="28" s="1"/>
  <c r="H75" i="28"/>
  <c r="AB98" i="28" s="1"/>
  <c r="AM75" i="28"/>
  <c r="AE75" i="28"/>
  <c r="W75" i="28"/>
  <c r="AQ98" i="28" s="1"/>
  <c r="O75" i="28"/>
  <c r="AI98" i="28" s="1"/>
  <c r="G75" i="28"/>
  <c r="AA98" i="28" s="1"/>
  <c r="V75" i="28"/>
  <c r="AP98" i="28" s="1"/>
  <c r="N75" i="28"/>
  <c r="AH98" i="28" s="1"/>
  <c r="F75" i="28"/>
  <c r="AT75" i="28"/>
  <c r="AD75" i="28"/>
  <c r="AL75" i="28"/>
  <c r="X179" i="28"/>
  <c r="P179" i="28"/>
  <c r="H179" i="28"/>
  <c r="W179" i="28"/>
  <c r="O179" i="28"/>
  <c r="G179" i="28"/>
  <c r="V179" i="28"/>
  <c r="N179" i="28"/>
  <c r="F179" i="28"/>
  <c r="U179" i="28"/>
  <c r="M179" i="28"/>
  <c r="T179" i="28"/>
  <c r="L179" i="28"/>
  <c r="R179" i="28"/>
  <c r="J179" i="28"/>
  <c r="Y179" i="28"/>
  <c r="Q179" i="28"/>
  <c r="I179" i="28"/>
  <c r="S179" i="28"/>
  <c r="K179" i="28"/>
  <c r="AT79" i="28"/>
  <c r="AL79" i="28"/>
  <c r="AD79" i="28"/>
  <c r="V79" i="28"/>
  <c r="AP102" i="28" s="1"/>
  <c r="N79" i="28"/>
  <c r="AH102" i="28" s="1"/>
  <c r="F79" i="28"/>
  <c r="AS79" i="28"/>
  <c r="AK79" i="28"/>
  <c r="AC79" i="28"/>
  <c r="U79" i="28"/>
  <c r="AO102" i="28" s="1"/>
  <c r="M79" i="28"/>
  <c r="AG102" i="28" s="1"/>
  <c r="AR79" i="28"/>
  <c r="AJ79" i="28"/>
  <c r="AB79" i="28"/>
  <c r="T79" i="28"/>
  <c r="AN102" i="28" s="1"/>
  <c r="L79" i="28"/>
  <c r="AF102" i="28" s="1"/>
  <c r="AQ79" i="28"/>
  <c r="AI79" i="28"/>
  <c r="AA79" i="28"/>
  <c r="S79" i="28"/>
  <c r="AM102" i="28" s="1"/>
  <c r="K79" i="28"/>
  <c r="AE102" i="28" s="1"/>
  <c r="AP79" i="28"/>
  <c r="AH79" i="28"/>
  <c r="Z79" i="28"/>
  <c r="AT102" i="28" s="1"/>
  <c r="R79" i="28"/>
  <c r="AL102" i="28" s="1"/>
  <c r="J79" i="28"/>
  <c r="AD102" i="28" s="1"/>
  <c r="AO79" i="28"/>
  <c r="AG79" i="28"/>
  <c r="Y79" i="28"/>
  <c r="AS102" i="28" s="1"/>
  <c r="Q79" i="28"/>
  <c r="AK102" i="28" s="1"/>
  <c r="I79" i="28"/>
  <c r="AC102" i="28" s="1"/>
  <c r="AN79" i="28"/>
  <c r="AF79" i="28"/>
  <c r="X79" i="28"/>
  <c r="AR102" i="28" s="1"/>
  <c r="P79" i="28"/>
  <c r="AJ102" i="28" s="1"/>
  <c r="H79" i="28"/>
  <c r="AB102" i="28" s="1"/>
  <c r="AM79" i="28"/>
  <c r="AE79" i="28"/>
  <c r="W79" i="28"/>
  <c r="AQ102" i="28" s="1"/>
  <c r="O79" i="28"/>
  <c r="AI102" i="28" s="1"/>
  <c r="G79" i="28"/>
  <c r="AA102" i="28" s="1"/>
  <c r="AX107" i="28"/>
  <c r="AX108" i="28"/>
  <c r="AX106" i="28"/>
  <c r="AP88" i="28"/>
  <c r="AH88" i="28"/>
  <c r="Z88" i="28"/>
  <c r="AT111" i="28" s="1"/>
  <c r="R88" i="28"/>
  <c r="AL111" i="28" s="1"/>
  <c r="J88" i="28"/>
  <c r="AD111" i="28" s="1"/>
  <c r="AO88" i="28"/>
  <c r="AG88" i="28"/>
  <c r="Y88" i="28"/>
  <c r="AS111" i="28" s="1"/>
  <c r="Q88" i="28"/>
  <c r="AK111" i="28" s="1"/>
  <c r="I88" i="28"/>
  <c r="AC111" i="28" s="1"/>
  <c r="AN88" i="28"/>
  <c r="AF88" i="28"/>
  <c r="X88" i="28"/>
  <c r="AR111" i="28" s="1"/>
  <c r="P88" i="28"/>
  <c r="AJ111" i="28" s="1"/>
  <c r="H88" i="28"/>
  <c r="AB111" i="28" s="1"/>
  <c r="AM88" i="28"/>
  <c r="AE88" i="28"/>
  <c r="W88" i="28"/>
  <c r="AQ111" i="28" s="1"/>
  <c r="O88" i="28"/>
  <c r="AI111" i="28" s="1"/>
  <c r="G88" i="28"/>
  <c r="AA111" i="28" s="1"/>
  <c r="AT88" i="28"/>
  <c r="AL88" i="28"/>
  <c r="AD88" i="28"/>
  <c r="V88" i="28"/>
  <c r="AP111" i="28" s="1"/>
  <c r="N88" i="28"/>
  <c r="AH111" i="28" s="1"/>
  <c r="F88" i="28"/>
  <c r="AS88" i="28"/>
  <c r="AK88" i="28"/>
  <c r="AC88" i="28"/>
  <c r="U88" i="28"/>
  <c r="AO111" i="28" s="1"/>
  <c r="M88" i="28"/>
  <c r="AG111" i="28" s="1"/>
  <c r="AR88" i="28"/>
  <c r="AJ88" i="28"/>
  <c r="AB88" i="28"/>
  <c r="T88" i="28"/>
  <c r="AN111" i="28" s="1"/>
  <c r="L88" i="28"/>
  <c r="AF111" i="28" s="1"/>
  <c r="AA88" i="28"/>
  <c r="S88" i="28"/>
  <c r="AM111" i="28" s="1"/>
  <c r="K88" i="28"/>
  <c r="AE111" i="28" s="1"/>
  <c r="AQ88" i="28"/>
  <c r="AI88" i="28"/>
  <c r="AD165" i="28"/>
  <c r="R181" i="28"/>
  <c r="J181" i="28"/>
  <c r="Y181" i="28"/>
  <c r="Q181" i="28"/>
  <c r="I181" i="28"/>
  <c r="X181" i="28"/>
  <c r="P181" i="28"/>
  <c r="H181" i="28"/>
  <c r="W181" i="28"/>
  <c r="O181" i="28"/>
  <c r="G181" i="28"/>
  <c r="V181" i="28"/>
  <c r="N181" i="28"/>
  <c r="F181" i="28"/>
  <c r="T181" i="28"/>
  <c r="L181" i="28"/>
  <c r="S181" i="28"/>
  <c r="K181" i="28"/>
  <c r="U181" i="28"/>
  <c r="M181" i="28"/>
  <c r="AE168" i="28"/>
  <c r="AS87" i="28"/>
  <c r="AK87" i="28"/>
  <c r="AC87" i="28"/>
  <c r="U87" i="28"/>
  <c r="AO110" i="28" s="1"/>
  <c r="M87" i="28"/>
  <c r="AG110" i="28" s="1"/>
  <c r="AR87" i="28"/>
  <c r="AJ87" i="28"/>
  <c r="AB87" i="28"/>
  <c r="T87" i="28"/>
  <c r="AN110" i="28" s="1"/>
  <c r="L87" i="28"/>
  <c r="AF110" i="28" s="1"/>
  <c r="AQ87" i="28"/>
  <c r="AI87" i="28"/>
  <c r="AA87" i="28"/>
  <c r="S87" i="28"/>
  <c r="AM110" i="28" s="1"/>
  <c r="K87" i="28"/>
  <c r="AE110" i="28" s="1"/>
  <c r="AP87" i="28"/>
  <c r="AH87" i="28"/>
  <c r="Z87" i="28"/>
  <c r="AT110" i="28" s="1"/>
  <c r="R87" i="28"/>
  <c r="AL110" i="28" s="1"/>
  <c r="J87" i="28"/>
  <c r="AD110" i="28" s="1"/>
  <c r="AO87" i="28"/>
  <c r="AG87" i="28"/>
  <c r="Y87" i="28"/>
  <c r="AS110" i="28" s="1"/>
  <c r="Q87" i="28"/>
  <c r="AK110" i="28" s="1"/>
  <c r="I87" i="28"/>
  <c r="AC110" i="28" s="1"/>
  <c r="AN87" i="28"/>
  <c r="AF87" i="28"/>
  <c r="X87" i="28"/>
  <c r="AR110" i="28" s="1"/>
  <c r="P87" i="28"/>
  <c r="AJ110" i="28" s="1"/>
  <c r="H87" i="28"/>
  <c r="AB110" i="28" s="1"/>
  <c r="AM87" i="28"/>
  <c r="AE87" i="28"/>
  <c r="W87" i="28"/>
  <c r="AQ110" i="28" s="1"/>
  <c r="O87" i="28"/>
  <c r="AI110" i="28" s="1"/>
  <c r="G87" i="28"/>
  <c r="AA110" i="28" s="1"/>
  <c r="F87" i="28"/>
  <c r="AT87" i="28"/>
  <c r="AL87" i="28"/>
  <c r="AD87" i="28"/>
  <c r="N87" i="28"/>
  <c r="AH110" i="28" s="1"/>
  <c r="V87" i="28"/>
  <c r="AP110" i="28" s="1"/>
  <c r="X186" i="28"/>
  <c r="H186" i="28"/>
  <c r="O186" i="28"/>
  <c r="N186" i="28"/>
  <c r="U194" i="28"/>
  <c r="M194" i="28"/>
  <c r="T194" i="28"/>
  <c r="L194" i="28"/>
  <c r="S194" i="28"/>
  <c r="K194" i="28"/>
  <c r="Y194" i="28"/>
  <c r="N194" i="28"/>
  <c r="X194" i="28"/>
  <c r="J194" i="28"/>
  <c r="V194" i="28"/>
  <c r="H194" i="28"/>
  <c r="R194" i="28"/>
  <c r="G194" i="28"/>
  <c r="O194" i="28"/>
  <c r="F194" i="28"/>
  <c r="W194" i="28"/>
  <c r="P194" i="28"/>
  <c r="I194" i="28"/>
  <c r="Q194" i="28"/>
  <c r="T182" i="28"/>
  <c r="L182" i="28"/>
  <c r="S182" i="28"/>
  <c r="K182" i="28"/>
  <c r="R182" i="28"/>
  <c r="J182" i="28"/>
  <c r="Y182" i="28"/>
  <c r="Q182" i="28"/>
  <c r="I182" i="28"/>
  <c r="X182" i="28"/>
  <c r="P182" i="28"/>
  <c r="H182" i="28"/>
  <c r="V182" i="28"/>
  <c r="N182" i="28"/>
  <c r="F182" i="28"/>
  <c r="U182" i="28"/>
  <c r="M182" i="28"/>
  <c r="W182" i="28"/>
  <c r="O182" i="28"/>
  <c r="G182" i="28"/>
  <c r="AN80" i="28"/>
  <c r="AF80" i="28"/>
  <c r="X80" i="28"/>
  <c r="AR103" i="28" s="1"/>
  <c r="P80" i="28"/>
  <c r="AJ103" i="28" s="1"/>
  <c r="H80" i="28"/>
  <c r="AB103" i="28" s="1"/>
  <c r="AM80" i="28"/>
  <c r="AE80" i="28"/>
  <c r="W80" i="28"/>
  <c r="AQ103" i="28" s="1"/>
  <c r="O80" i="28"/>
  <c r="AI103" i="28" s="1"/>
  <c r="G80" i="28"/>
  <c r="AA103" i="28" s="1"/>
  <c r="AT80" i="28"/>
  <c r="AL80" i="28"/>
  <c r="AD80" i="28"/>
  <c r="V80" i="28"/>
  <c r="AP103" i="28" s="1"/>
  <c r="N80" i="28"/>
  <c r="AH103" i="28" s="1"/>
  <c r="F80" i="28"/>
  <c r="AS80" i="28"/>
  <c r="AK80" i="28"/>
  <c r="AC80" i="28"/>
  <c r="U80" i="28"/>
  <c r="AO103" i="28" s="1"/>
  <c r="M80" i="28"/>
  <c r="AG103" i="28" s="1"/>
  <c r="AR80" i="28"/>
  <c r="AJ80" i="28"/>
  <c r="AB80" i="28"/>
  <c r="T80" i="28"/>
  <c r="AN103" i="28" s="1"/>
  <c r="L80" i="28"/>
  <c r="AF103" i="28" s="1"/>
  <c r="AQ80" i="28"/>
  <c r="AI80" i="28"/>
  <c r="AA80" i="28"/>
  <c r="S80" i="28"/>
  <c r="AM103" i="28" s="1"/>
  <c r="K80" i="28"/>
  <c r="AE103" i="28" s="1"/>
  <c r="AP80" i="28"/>
  <c r="AH80" i="28"/>
  <c r="Z80" i="28"/>
  <c r="AT103" i="28" s="1"/>
  <c r="R80" i="28"/>
  <c r="AL103" i="28" s="1"/>
  <c r="J80" i="28"/>
  <c r="AD103" i="28" s="1"/>
  <c r="AO80" i="28"/>
  <c r="AG80" i="28"/>
  <c r="Y80" i="28"/>
  <c r="AS103" i="28" s="1"/>
  <c r="Q80" i="28"/>
  <c r="AK103" i="28" s="1"/>
  <c r="I80" i="28"/>
  <c r="AC103" i="28" s="1"/>
  <c r="AP82" i="28"/>
  <c r="AH82" i="28"/>
  <c r="Z82" i="28"/>
  <c r="AT105" i="28" s="1"/>
  <c r="R82" i="28"/>
  <c r="AL105" i="28" s="1"/>
  <c r="J82" i="28"/>
  <c r="AD105" i="28" s="1"/>
  <c r="AO82" i="28"/>
  <c r="AG82" i="28"/>
  <c r="Y82" i="28"/>
  <c r="AS105" i="28" s="1"/>
  <c r="Q82" i="28"/>
  <c r="AK105" i="28" s="1"/>
  <c r="I82" i="28"/>
  <c r="AC105" i="28" s="1"/>
  <c r="AN82" i="28"/>
  <c r="AF82" i="28"/>
  <c r="X82" i="28"/>
  <c r="AR105" i="28" s="1"/>
  <c r="P82" i="28"/>
  <c r="AJ105" i="28" s="1"/>
  <c r="H82" i="28"/>
  <c r="AB105" i="28" s="1"/>
  <c r="AM82" i="28"/>
  <c r="AE82" i="28"/>
  <c r="W82" i="28"/>
  <c r="AQ105" i="28" s="1"/>
  <c r="O82" i="28"/>
  <c r="AI105" i="28" s="1"/>
  <c r="G82" i="28"/>
  <c r="AA105" i="28" s="1"/>
  <c r="AT82" i="28"/>
  <c r="AL82" i="28"/>
  <c r="AD82" i="28"/>
  <c r="V82" i="28"/>
  <c r="AP105" i="28" s="1"/>
  <c r="N82" i="28"/>
  <c r="AH105" i="28" s="1"/>
  <c r="F82" i="28"/>
  <c r="AS82" i="28"/>
  <c r="AK82" i="28"/>
  <c r="AC82" i="28"/>
  <c r="U82" i="28"/>
  <c r="AO105" i="28" s="1"/>
  <c r="M82" i="28"/>
  <c r="AG105" i="28" s="1"/>
  <c r="AR82" i="28"/>
  <c r="AJ82" i="28"/>
  <c r="AB82" i="28"/>
  <c r="T82" i="28"/>
  <c r="AN105" i="28" s="1"/>
  <c r="L82" i="28"/>
  <c r="AF105" i="28" s="1"/>
  <c r="AI82" i="28"/>
  <c r="AA82" i="28"/>
  <c r="S82" i="28"/>
  <c r="AM105" i="28" s="1"/>
  <c r="K82" i="28"/>
  <c r="AE105" i="28" s="1"/>
  <c r="AQ82" i="28"/>
  <c r="T190" i="28"/>
  <c r="L190" i="28"/>
  <c r="S190" i="28"/>
  <c r="K190" i="28"/>
  <c r="Y190" i="28"/>
  <c r="Q190" i="28"/>
  <c r="I190" i="28"/>
  <c r="X190" i="28"/>
  <c r="P190" i="28"/>
  <c r="H190" i="28"/>
  <c r="U190" i="28"/>
  <c r="M190" i="28"/>
  <c r="F190" i="28"/>
  <c r="W190" i="28"/>
  <c r="V190" i="28"/>
  <c r="R190" i="28"/>
  <c r="O190" i="28"/>
  <c r="J190" i="28"/>
  <c r="G190" i="28"/>
  <c r="N190" i="28"/>
  <c r="AO84" i="28"/>
  <c r="AG84" i="28"/>
  <c r="Y84" i="28"/>
  <c r="AS107" i="28" s="1"/>
  <c r="Q84" i="28"/>
  <c r="AK107" i="28" s="1"/>
  <c r="I84" i="28"/>
  <c r="AC107" i="28" s="1"/>
  <c r="AN84" i="28"/>
  <c r="AF84" i="28"/>
  <c r="X84" i="28"/>
  <c r="AR107" i="28" s="1"/>
  <c r="P84" i="28"/>
  <c r="AJ107" i="28" s="1"/>
  <c r="H84" i="28"/>
  <c r="AB107" i="28" s="1"/>
  <c r="AM84" i="28"/>
  <c r="AE84" i="28"/>
  <c r="W84" i="28"/>
  <c r="AQ107" i="28" s="1"/>
  <c r="O84" i="28"/>
  <c r="AI107" i="28" s="1"/>
  <c r="G84" i="28"/>
  <c r="AA107" i="28" s="1"/>
  <c r="AT84" i="28"/>
  <c r="AL84" i="28"/>
  <c r="AD84" i="28"/>
  <c r="V84" i="28"/>
  <c r="AP107" i="28" s="1"/>
  <c r="N84" i="28"/>
  <c r="AH107" i="28" s="1"/>
  <c r="F84" i="28"/>
  <c r="AS84" i="28"/>
  <c r="AK84" i="28"/>
  <c r="AC84" i="28"/>
  <c r="U84" i="28"/>
  <c r="AO107" i="28" s="1"/>
  <c r="M84" i="28"/>
  <c r="AG107" i="28" s="1"/>
  <c r="AR84" i="28"/>
  <c r="AJ84" i="28"/>
  <c r="AB84" i="28"/>
  <c r="T84" i="28"/>
  <c r="AN107" i="28" s="1"/>
  <c r="L84" i="28"/>
  <c r="AF107" i="28" s="1"/>
  <c r="AQ84" i="28"/>
  <c r="AI84" i="28"/>
  <c r="AA84" i="28"/>
  <c r="S84" i="28"/>
  <c r="AM107" i="28" s="1"/>
  <c r="K84" i="28"/>
  <c r="AE107" i="28" s="1"/>
  <c r="J84" i="28"/>
  <c r="AD107" i="28" s="1"/>
  <c r="AP84" i="28"/>
  <c r="AH84" i="28"/>
  <c r="R84" i="28"/>
  <c r="AL107" i="28" s="1"/>
  <c r="Z84" i="28"/>
  <c r="AT107" i="28" s="1"/>
  <c r="AD171" i="28"/>
  <c r="AX105" i="28"/>
  <c r="AX104" i="28"/>
  <c r="AX103" i="28"/>
  <c r="W196" i="28"/>
  <c r="O196" i="28"/>
  <c r="G196" i="28"/>
  <c r="V196" i="28"/>
  <c r="N196" i="28"/>
  <c r="F196" i="28"/>
  <c r="U196" i="28"/>
  <c r="M196" i="28"/>
  <c r="Q196" i="28"/>
  <c r="P196" i="28"/>
  <c r="Y196" i="28"/>
  <c r="K196" i="28"/>
  <c r="X196" i="28"/>
  <c r="J196" i="28"/>
  <c r="R196" i="28"/>
  <c r="T196" i="28"/>
  <c r="S196" i="28"/>
  <c r="L196" i="28"/>
  <c r="I196" i="28"/>
  <c r="H196" i="28"/>
  <c r="U180" i="28"/>
  <c r="M180" i="28"/>
  <c r="T180" i="28"/>
  <c r="L180" i="28"/>
  <c r="S180" i="28"/>
  <c r="K180" i="28"/>
  <c r="R180" i="28"/>
  <c r="J180" i="28"/>
  <c r="Y180" i="28"/>
  <c r="Q180" i="28"/>
  <c r="I180" i="28"/>
  <c r="W180" i="28"/>
  <c r="O180" i="28"/>
  <c r="G180" i="28"/>
  <c r="V180" i="28"/>
  <c r="N180" i="28"/>
  <c r="F180" i="28"/>
  <c r="X180" i="28"/>
  <c r="P180" i="28"/>
  <c r="H180" i="28"/>
  <c r="AO78" i="28"/>
  <c r="AG78" i="28"/>
  <c r="Y78" i="28"/>
  <c r="AS101" i="28" s="1"/>
  <c r="Q78" i="28"/>
  <c r="AK101" i="28" s="1"/>
  <c r="I78" i="28"/>
  <c r="AC101" i="28" s="1"/>
  <c r="AN78" i="28"/>
  <c r="AF78" i="28"/>
  <c r="X78" i="28"/>
  <c r="AR101" i="28" s="1"/>
  <c r="P78" i="28"/>
  <c r="AJ101" i="28" s="1"/>
  <c r="H78" i="28"/>
  <c r="AB101" i="28" s="1"/>
  <c r="AM78" i="28"/>
  <c r="AE78" i="28"/>
  <c r="W78" i="28"/>
  <c r="AQ101" i="28" s="1"/>
  <c r="O78" i="28"/>
  <c r="AI101" i="28" s="1"/>
  <c r="G78" i="28"/>
  <c r="AA101" i="28" s="1"/>
  <c r="AT78" i="28"/>
  <c r="AL78" i="28"/>
  <c r="AD78" i="28"/>
  <c r="V78" i="28"/>
  <c r="AP101" i="28" s="1"/>
  <c r="N78" i="28"/>
  <c r="AH101" i="28" s="1"/>
  <c r="F78" i="28"/>
  <c r="AS78" i="28"/>
  <c r="AK78" i="28"/>
  <c r="AC78" i="28"/>
  <c r="U78" i="28"/>
  <c r="AO101" i="28" s="1"/>
  <c r="M78" i="28"/>
  <c r="AG101" i="28" s="1"/>
  <c r="AR78" i="28"/>
  <c r="AJ78" i="28"/>
  <c r="AB78" i="28"/>
  <c r="T78" i="28"/>
  <c r="AN101" i="28" s="1"/>
  <c r="L78" i="28"/>
  <c r="AF101" i="28" s="1"/>
  <c r="AQ78" i="28"/>
  <c r="AI78" i="28"/>
  <c r="AA78" i="28"/>
  <c r="S78" i="28"/>
  <c r="AM101" i="28" s="1"/>
  <c r="K78" i="28"/>
  <c r="AE101" i="28" s="1"/>
  <c r="R78" i="28"/>
  <c r="AL101" i="28" s="1"/>
  <c r="J78" i="28"/>
  <c r="AD101" i="28" s="1"/>
  <c r="Z78" i="28"/>
  <c r="AT101" i="28" s="1"/>
  <c r="AP78" i="28"/>
  <c r="AH78" i="28"/>
  <c r="V191" i="28"/>
  <c r="N191" i="28"/>
  <c r="F191" i="28"/>
  <c r="U191" i="28"/>
  <c r="M191" i="28"/>
  <c r="S191" i="28"/>
  <c r="K191" i="28"/>
  <c r="R191" i="28"/>
  <c r="J191" i="28"/>
  <c r="W191" i="28"/>
  <c r="O191" i="28"/>
  <c r="G191" i="28"/>
  <c r="X191" i="28"/>
  <c r="T191" i="28"/>
  <c r="Q191" i="28"/>
  <c r="P191" i="28"/>
  <c r="L191" i="28"/>
  <c r="H191" i="28"/>
  <c r="Y191" i="28"/>
  <c r="I191" i="28"/>
  <c r="AR83" i="28"/>
  <c r="AJ83" i="28"/>
  <c r="AB83" i="28"/>
  <c r="T83" i="28"/>
  <c r="AN106" i="28" s="1"/>
  <c r="L83" i="28"/>
  <c r="AF106" i="28" s="1"/>
  <c r="AQ83" i="28"/>
  <c r="AI83" i="28"/>
  <c r="AA83" i="28"/>
  <c r="S83" i="28"/>
  <c r="AM106" i="28" s="1"/>
  <c r="K83" i="28"/>
  <c r="AE106" i="28" s="1"/>
  <c r="AP83" i="28"/>
  <c r="AH83" i="28"/>
  <c r="Z83" i="28"/>
  <c r="AT106" i="28" s="1"/>
  <c r="R83" i="28"/>
  <c r="AL106" i="28" s="1"/>
  <c r="J83" i="28"/>
  <c r="AD106" i="28" s="1"/>
  <c r="AO83" i="28"/>
  <c r="AG83" i="28"/>
  <c r="Y83" i="28"/>
  <c r="AS106" i="28" s="1"/>
  <c r="Q83" i="28"/>
  <c r="AK106" i="28" s="1"/>
  <c r="I83" i="28"/>
  <c r="AC106" i="28" s="1"/>
  <c r="AN83" i="28"/>
  <c r="AF83" i="28"/>
  <c r="X83" i="28"/>
  <c r="AR106" i="28" s="1"/>
  <c r="P83" i="28"/>
  <c r="AJ106" i="28" s="1"/>
  <c r="H83" i="28"/>
  <c r="AB106" i="28" s="1"/>
  <c r="AM83" i="28"/>
  <c r="AE83" i="28"/>
  <c r="W83" i="28"/>
  <c r="AQ106" i="28" s="1"/>
  <c r="O83" i="28"/>
  <c r="AI106" i="28" s="1"/>
  <c r="G83" i="28"/>
  <c r="AA106" i="28" s="1"/>
  <c r="AT83" i="28"/>
  <c r="AL83" i="28"/>
  <c r="AD83" i="28"/>
  <c r="V83" i="28"/>
  <c r="AP106" i="28" s="1"/>
  <c r="N83" i="28"/>
  <c r="AH106" i="28" s="1"/>
  <c r="F83" i="28"/>
  <c r="AS83" i="28"/>
  <c r="AK83" i="28"/>
  <c r="AC83" i="28"/>
  <c r="U83" i="28"/>
  <c r="AO106" i="28" s="1"/>
  <c r="M83" i="28"/>
  <c r="AG106" i="28" s="1"/>
  <c r="AO90" i="28"/>
  <c r="AG90" i="28"/>
  <c r="Y90" i="28"/>
  <c r="AS113" i="28" s="1"/>
  <c r="Q90" i="28"/>
  <c r="AK113" i="28" s="1"/>
  <c r="I90" i="28"/>
  <c r="AC113" i="28" s="1"/>
  <c r="AN90" i="28"/>
  <c r="AF90" i="28"/>
  <c r="X90" i="28"/>
  <c r="AR113" i="28" s="1"/>
  <c r="P90" i="28"/>
  <c r="AJ113" i="28" s="1"/>
  <c r="H90" i="28"/>
  <c r="AB113" i="28" s="1"/>
  <c r="AM90" i="28"/>
  <c r="AE90" i="28"/>
  <c r="W90" i="28"/>
  <c r="AQ113" i="28" s="1"/>
  <c r="O90" i="28"/>
  <c r="AI113" i="28" s="1"/>
  <c r="G90" i="28"/>
  <c r="AA113" i="28" s="1"/>
  <c r="AT90" i="28"/>
  <c r="AL90" i="28"/>
  <c r="AD90" i="28"/>
  <c r="V90" i="28"/>
  <c r="AP113" i="28" s="1"/>
  <c r="N90" i="28"/>
  <c r="AH113" i="28" s="1"/>
  <c r="F90" i="28"/>
  <c r="AS90" i="28"/>
  <c r="AK90" i="28"/>
  <c r="AC90" i="28"/>
  <c r="U90" i="28"/>
  <c r="AO113" i="28" s="1"/>
  <c r="M90" i="28"/>
  <c r="AG113" i="28" s="1"/>
  <c r="AR90" i="28"/>
  <c r="AJ90" i="28"/>
  <c r="AB90" i="28"/>
  <c r="T90" i="28"/>
  <c r="AN113" i="28" s="1"/>
  <c r="L90" i="28"/>
  <c r="AF113" i="28" s="1"/>
  <c r="AQ90" i="28"/>
  <c r="AI90" i="28"/>
  <c r="AA90" i="28"/>
  <c r="S90" i="28"/>
  <c r="AM113" i="28" s="1"/>
  <c r="K90" i="28"/>
  <c r="AE113" i="28" s="1"/>
  <c r="AP90" i="28"/>
  <c r="AH90" i="28"/>
  <c r="Z90" i="28"/>
  <c r="AT113" i="28" s="1"/>
  <c r="J90" i="28"/>
  <c r="AD113" i="28" s="1"/>
  <c r="R90" i="28"/>
  <c r="AL113" i="28" s="1"/>
  <c r="AN74" i="28"/>
  <c r="AF74" i="28"/>
  <c r="X74" i="28"/>
  <c r="P74" i="28"/>
  <c r="H74" i="28"/>
  <c r="AM74" i="28"/>
  <c r="AE74" i="28"/>
  <c r="W74" i="28"/>
  <c r="O74" i="28"/>
  <c r="G74" i="28"/>
  <c r="AT74" i="28"/>
  <c r="AL74" i="28"/>
  <c r="AD74" i="28"/>
  <c r="V74" i="28"/>
  <c r="N74" i="28"/>
  <c r="F74" i="28"/>
  <c r="AS74" i="28"/>
  <c r="AK74" i="28"/>
  <c r="AC74" i="28"/>
  <c r="U74" i="28"/>
  <c r="M74" i="28"/>
  <c r="AR74" i="28"/>
  <c r="AJ74" i="28"/>
  <c r="AB74" i="28"/>
  <c r="T74" i="28"/>
  <c r="L74" i="28"/>
  <c r="AQ74" i="28"/>
  <c r="AI74" i="28"/>
  <c r="AA74" i="28"/>
  <c r="S74" i="28"/>
  <c r="K74" i="28"/>
  <c r="AP74" i="28"/>
  <c r="AH74" i="28"/>
  <c r="Z74" i="28"/>
  <c r="R74" i="28"/>
  <c r="J74" i="28"/>
  <c r="AO74" i="28"/>
  <c r="AG74" i="28"/>
  <c r="Y74" i="28"/>
  <c r="I74" i="28"/>
  <c r="Q74" i="28"/>
  <c r="AD162" i="28"/>
  <c r="AS81" i="28"/>
  <c r="AK81" i="28"/>
  <c r="AC81" i="28"/>
  <c r="U81" i="28"/>
  <c r="AO104" i="28" s="1"/>
  <c r="M81" i="28"/>
  <c r="AG104" i="28" s="1"/>
  <c r="AR81" i="28"/>
  <c r="AJ81" i="28"/>
  <c r="AB81" i="28"/>
  <c r="T81" i="28"/>
  <c r="AN104" i="28" s="1"/>
  <c r="L81" i="28"/>
  <c r="AF104" i="28" s="1"/>
  <c r="AQ81" i="28"/>
  <c r="AI81" i="28"/>
  <c r="AA81" i="28"/>
  <c r="S81" i="28"/>
  <c r="AM104" i="28" s="1"/>
  <c r="K81" i="28"/>
  <c r="AE104" i="28" s="1"/>
  <c r="AP81" i="28"/>
  <c r="AH81" i="28"/>
  <c r="Z81" i="28"/>
  <c r="AT104" i="28" s="1"/>
  <c r="R81" i="28"/>
  <c r="AL104" i="28" s="1"/>
  <c r="J81" i="28"/>
  <c r="AD104" i="28" s="1"/>
  <c r="AO81" i="28"/>
  <c r="AG81" i="28"/>
  <c r="Y81" i="28"/>
  <c r="AS104" i="28" s="1"/>
  <c r="Q81" i="28"/>
  <c r="AK104" i="28" s="1"/>
  <c r="I81" i="28"/>
  <c r="AC104" i="28" s="1"/>
  <c r="AN81" i="28"/>
  <c r="AF81" i="28"/>
  <c r="X81" i="28"/>
  <c r="AR104" i="28" s="1"/>
  <c r="P81" i="28"/>
  <c r="AJ104" i="28" s="1"/>
  <c r="H81" i="28"/>
  <c r="AB104" i="28" s="1"/>
  <c r="AM81" i="28"/>
  <c r="AE81" i="28"/>
  <c r="W81" i="28"/>
  <c r="AQ104" i="28" s="1"/>
  <c r="O81" i="28"/>
  <c r="AI104" i="28" s="1"/>
  <c r="G81" i="28"/>
  <c r="AA104" i="28" s="1"/>
  <c r="N81" i="28"/>
  <c r="AH104" i="28" s="1"/>
  <c r="F81" i="28"/>
  <c r="AT81" i="28"/>
  <c r="AL81" i="28"/>
  <c r="V81" i="28"/>
  <c r="AP104" i="28" s="1"/>
  <c r="AD81" i="28"/>
  <c r="AX111" i="28"/>
  <c r="AX109" i="28"/>
  <c r="AX110" i="28"/>
  <c r="Y183" i="28"/>
  <c r="Q183" i="28"/>
  <c r="I183" i="28"/>
  <c r="X183" i="28"/>
  <c r="P183" i="28"/>
  <c r="H183" i="28"/>
  <c r="W183" i="28"/>
  <c r="O183" i="28"/>
  <c r="G183" i="28"/>
  <c r="V183" i="28"/>
  <c r="N183" i="28"/>
  <c r="F183" i="28"/>
  <c r="U183" i="28"/>
  <c r="M183" i="28"/>
  <c r="S183" i="28"/>
  <c r="K183" i="28"/>
  <c r="R183" i="28"/>
  <c r="J183" i="28"/>
  <c r="T183" i="28"/>
  <c r="L183" i="28"/>
  <c r="R188" i="28"/>
  <c r="J188" i="28"/>
  <c r="Y188" i="28"/>
  <c r="Q188" i="28"/>
  <c r="I188" i="28"/>
  <c r="W188" i="28"/>
  <c r="O188" i="28"/>
  <c r="G188" i="28"/>
  <c r="V188" i="28"/>
  <c r="N188" i="28"/>
  <c r="F188" i="28"/>
  <c r="S188" i="28"/>
  <c r="K188" i="28"/>
  <c r="X188" i="28"/>
  <c r="U188" i="28"/>
  <c r="T188" i="28"/>
  <c r="P188" i="28"/>
  <c r="L188" i="28"/>
  <c r="H188" i="28"/>
  <c r="M188" i="28"/>
  <c r="AR77" i="28"/>
  <c r="AJ77" i="28"/>
  <c r="AB77" i="28"/>
  <c r="T77" i="28"/>
  <c r="AN100" i="28" s="1"/>
  <c r="L77" i="28"/>
  <c r="AF100" i="28" s="1"/>
  <c r="AQ77" i="28"/>
  <c r="AI77" i="28"/>
  <c r="AA77" i="28"/>
  <c r="S77" i="28"/>
  <c r="AM100" i="28" s="1"/>
  <c r="K77" i="28"/>
  <c r="AE100" i="28" s="1"/>
  <c r="AP77" i="28"/>
  <c r="AH77" i="28"/>
  <c r="Z77" i="28"/>
  <c r="AT100" i="28" s="1"/>
  <c r="R77" i="28"/>
  <c r="AL100" i="28" s="1"/>
  <c r="J77" i="28"/>
  <c r="AD100" i="28" s="1"/>
  <c r="AO77" i="28"/>
  <c r="AG77" i="28"/>
  <c r="Y77" i="28"/>
  <c r="AS100" i="28" s="1"/>
  <c r="Q77" i="28"/>
  <c r="AK100" i="28" s="1"/>
  <c r="I77" i="28"/>
  <c r="AC100" i="28" s="1"/>
  <c r="AN77" i="28"/>
  <c r="AF77" i="28"/>
  <c r="X77" i="28"/>
  <c r="AR100" i="28" s="1"/>
  <c r="P77" i="28"/>
  <c r="AJ100" i="28" s="1"/>
  <c r="H77" i="28"/>
  <c r="AB100" i="28" s="1"/>
  <c r="AM77" i="28"/>
  <c r="AE77" i="28"/>
  <c r="W77" i="28"/>
  <c r="AQ100" i="28" s="1"/>
  <c r="O77" i="28"/>
  <c r="AI100" i="28" s="1"/>
  <c r="G77" i="28"/>
  <c r="AA100" i="28" s="1"/>
  <c r="AT77" i="28"/>
  <c r="AL77" i="28"/>
  <c r="AD77" i="28"/>
  <c r="V77" i="28"/>
  <c r="AP100" i="28" s="1"/>
  <c r="N77" i="28"/>
  <c r="AH100" i="28" s="1"/>
  <c r="F77" i="28"/>
  <c r="AS77" i="28"/>
  <c r="AK77" i="28"/>
  <c r="AC77" i="28"/>
  <c r="U77" i="28"/>
  <c r="AO100" i="28" s="1"/>
  <c r="M77" i="28"/>
  <c r="AG100" i="28" s="1"/>
  <c r="AT85" i="28"/>
  <c r="AL85" i="28"/>
  <c r="AD85" i="28"/>
  <c r="V85" i="28"/>
  <c r="AP108" i="28" s="1"/>
  <c r="N85" i="28"/>
  <c r="F85" i="28"/>
  <c r="AS85" i="28"/>
  <c r="AK85" i="28"/>
  <c r="AC85" i="28"/>
  <c r="U85" i="28"/>
  <c r="AO108" i="28" s="1"/>
  <c r="M85" i="28"/>
  <c r="AG108" i="28" s="1"/>
  <c r="AR85" i="28"/>
  <c r="AJ85" i="28"/>
  <c r="AB85" i="28"/>
  <c r="T85" i="28"/>
  <c r="AN108" i="28" s="1"/>
  <c r="L85" i="28"/>
  <c r="AF108" i="28" s="1"/>
  <c r="AQ85" i="28"/>
  <c r="AI85" i="28"/>
  <c r="AA85" i="28"/>
  <c r="S85" i="28"/>
  <c r="AM108" i="28" s="1"/>
  <c r="K85" i="28"/>
  <c r="AE108" i="28" s="1"/>
  <c r="AP85" i="28"/>
  <c r="AH85" i="28"/>
  <c r="Z85" i="28"/>
  <c r="AT108" i="28" s="1"/>
  <c r="R85" i="28"/>
  <c r="AL108" i="28" s="1"/>
  <c r="J85" i="28"/>
  <c r="AD108" i="28" s="1"/>
  <c r="AO85" i="28"/>
  <c r="AG85" i="28"/>
  <c r="Y85" i="28"/>
  <c r="AS108" i="28" s="1"/>
  <c r="Q85" i="28"/>
  <c r="AK108" i="28" s="1"/>
  <c r="I85" i="28"/>
  <c r="AC108" i="28" s="1"/>
  <c r="AN85" i="28"/>
  <c r="AF85" i="28"/>
  <c r="X85" i="28"/>
  <c r="AR108" i="28" s="1"/>
  <c r="P85" i="28"/>
  <c r="AJ108" i="28" s="1"/>
  <c r="H85" i="28"/>
  <c r="AB108" i="28" s="1"/>
  <c r="AE85" i="28"/>
  <c r="W85" i="28"/>
  <c r="AQ108" i="28" s="1"/>
  <c r="O85" i="28"/>
  <c r="AI108" i="28" s="1"/>
  <c r="G85" i="28"/>
  <c r="AA108" i="28" s="1"/>
  <c r="AM85" i="28"/>
  <c r="AR89" i="28"/>
  <c r="AJ89" i="28"/>
  <c r="AB89" i="28"/>
  <c r="T89" i="28"/>
  <c r="AN112" i="28" s="1"/>
  <c r="L89" i="28"/>
  <c r="AF112" i="28" s="1"/>
  <c r="AQ89" i="28"/>
  <c r="AI89" i="28"/>
  <c r="AA89" i="28"/>
  <c r="S89" i="28"/>
  <c r="AM112" i="28" s="1"/>
  <c r="K89" i="28"/>
  <c r="AE112" i="28" s="1"/>
  <c r="AP89" i="28"/>
  <c r="AH89" i="28"/>
  <c r="Z89" i="28"/>
  <c r="AT112" i="28" s="1"/>
  <c r="R89" i="28"/>
  <c r="AL112" i="28" s="1"/>
  <c r="J89" i="28"/>
  <c r="AD112" i="28" s="1"/>
  <c r="AO89" i="28"/>
  <c r="AG89" i="28"/>
  <c r="Y89" i="28"/>
  <c r="AS112" i="28" s="1"/>
  <c r="Q89" i="28"/>
  <c r="AK112" i="28" s="1"/>
  <c r="I89" i="28"/>
  <c r="AC112" i="28" s="1"/>
  <c r="AN89" i="28"/>
  <c r="AF89" i="28"/>
  <c r="X89" i="28"/>
  <c r="AR112" i="28" s="1"/>
  <c r="P89" i="28"/>
  <c r="AJ112" i="28" s="1"/>
  <c r="H89" i="28"/>
  <c r="AB112" i="28" s="1"/>
  <c r="AM89" i="28"/>
  <c r="AE89" i="28"/>
  <c r="W89" i="28"/>
  <c r="AQ112" i="28" s="1"/>
  <c r="O89" i="28"/>
  <c r="AI112" i="28" s="1"/>
  <c r="G89" i="28"/>
  <c r="AA112" i="28" s="1"/>
  <c r="AT89" i="28"/>
  <c r="AL89" i="28"/>
  <c r="AD89" i="28"/>
  <c r="V89" i="28"/>
  <c r="AP112" i="28" s="1"/>
  <c r="N89" i="28"/>
  <c r="AH112" i="28" s="1"/>
  <c r="F89" i="28"/>
  <c r="AS89" i="28"/>
  <c r="AK89" i="28"/>
  <c r="AC89" i="28"/>
  <c r="U89" i="28"/>
  <c r="AO112" i="28" s="1"/>
  <c r="M89" i="28"/>
  <c r="AG112" i="28" s="1"/>
  <c r="AF156" i="28"/>
  <c r="AP76" i="28"/>
  <c r="AH76" i="28"/>
  <c r="Z76" i="28"/>
  <c r="AT99" i="28" s="1"/>
  <c r="R76" i="28"/>
  <c r="AL99" i="28" s="1"/>
  <c r="J76" i="28"/>
  <c r="AD99" i="28" s="1"/>
  <c r="AO76" i="28"/>
  <c r="AG76" i="28"/>
  <c r="Y76" i="28"/>
  <c r="AS99" i="28" s="1"/>
  <c r="Q76" i="28"/>
  <c r="AK99" i="28" s="1"/>
  <c r="AC99" i="28"/>
  <c r="AN76" i="28"/>
  <c r="AF76" i="28"/>
  <c r="X76" i="28"/>
  <c r="AR99" i="28" s="1"/>
  <c r="P76" i="28"/>
  <c r="AJ99" i="28" s="1"/>
  <c r="H76" i="28"/>
  <c r="AB99" i="28" s="1"/>
  <c r="AM76" i="28"/>
  <c r="AE76" i="28"/>
  <c r="W76" i="28"/>
  <c r="AQ99" i="28" s="1"/>
  <c r="O76" i="28"/>
  <c r="AI99" i="28" s="1"/>
  <c r="G76" i="28"/>
  <c r="AA99" i="28" s="1"/>
  <c r="AT76" i="28"/>
  <c r="AL76" i="28"/>
  <c r="AD76" i="28"/>
  <c r="V76" i="28"/>
  <c r="AP99" i="28" s="1"/>
  <c r="N76" i="28"/>
  <c r="AH99" i="28" s="1"/>
  <c r="F76" i="28"/>
  <c r="AK76" i="28"/>
  <c r="AC76" i="28"/>
  <c r="U76" i="28"/>
  <c r="AO99" i="28" s="1"/>
  <c r="M76" i="28"/>
  <c r="AG99" i="28" s="1"/>
  <c r="AR76" i="28"/>
  <c r="AJ76" i="28"/>
  <c r="AB76" i="28"/>
  <c r="T76" i="28"/>
  <c r="AN99" i="28" s="1"/>
  <c r="L76" i="28"/>
  <c r="AF99" i="28" s="1"/>
  <c r="AQ76" i="28"/>
  <c r="AI76" i="28"/>
  <c r="AA76" i="28"/>
  <c r="S76" i="28"/>
  <c r="AM99" i="28" s="1"/>
  <c r="K76" i="28"/>
  <c r="AE99" i="28" s="1"/>
  <c r="R186" i="28" l="1"/>
  <c r="K186" i="28"/>
  <c r="S186" i="28"/>
  <c r="T186" i="28"/>
  <c r="J186" i="28"/>
  <c r="M186" i="28"/>
  <c r="L186" i="28"/>
  <c r="W186" i="28"/>
  <c r="Q186" i="28"/>
  <c r="U186" i="28"/>
  <c r="V186" i="28"/>
  <c r="F186" i="28"/>
  <c r="G186" i="28"/>
  <c r="E20" i="29"/>
  <c r="AT197" i="28"/>
  <c r="U187" i="28"/>
  <c r="Z187" i="28"/>
  <c r="P186" i="28"/>
  <c r="Z186" i="28"/>
  <c r="G193" i="28"/>
  <c r="Z193" i="28"/>
  <c r="C25" i="29"/>
  <c r="D114" i="29"/>
  <c r="E72" i="29"/>
  <c r="E79" i="29" s="1"/>
  <c r="E81" i="29" s="1"/>
  <c r="C16" i="29"/>
  <c r="C26" i="29" s="1"/>
  <c r="D145" i="29"/>
  <c r="AH108" i="28"/>
  <c r="Y186" i="28"/>
  <c r="O185" i="28"/>
  <c r="W193" i="28"/>
  <c r="H193" i="28"/>
  <c r="F193" i="28"/>
  <c r="S193" i="28"/>
  <c r="Q193" i="28"/>
  <c r="Y193" i="28"/>
  <c r="U193" i="28"/>
  <c r="H185" i="28"/>
  <c r="F112" i="29"/>
  <c r="F114" i="29" s="1"/>
  <c r="H74" i="29"/>
  <c r="I74" i="29" s="1"/>
  <c r="F64" i="29"/>
  <c r="F65" i="29" s="1"/>
  <c r="G112" i="29"/>
  <c r="G114" i="29" s="1"/>
  <c r="H61" i="29"/>
  <c r="G63" i="29"/>
  <c r="E143" i="29"/>
  <c r="E145" i="29" s="1"/>
  <c r="G137" i="29"/>
  <c r="G141" i="29" s="1"/>
  <c r="G142" i="29" s="1"/>
  <c r="I120" i="29"/>
  <c r="H123" i="29"/>
  <c r="H125" i="29" s="1"/>
  <c r="H126" i="29" s="1"/>
  <c r="I106" i="29"/>
  <c r="I110" i="29" s="1"/>
  <c r="I111" i="29" s="1"/>
  <c r="H112" i="29"/>
  <c r="H114" i="29" s="1"/>
  <c r="H60" i="29"/>
  <c r="G62" i="29"/>
  <c r="N121" i="29"/>
  <c r="N124" i="29" s="1"/>
  <c r="M124" i="29"/>
  <c r="G68" i="29"/>
  <c r="F71" i="29"/>
  <c r="G129" i="29"/>
  <c r="G133" i="29" s="1"/>
  <c r="G134" i="29" s="1"/>
  <c r="J193" i="28"/>
  <c r="I193" i="28"/>
  <c r="O193" i="28"/>
  <c r="L193" i="28"/>
  <c r="N193" i="28"/>
  <c r="T193" i="28"/>
  <c r="X193" i="28"/>
  <c r="K193" i="28"/>
  <c r="P193" i="28"/>
  <c r="R193" i="28"/>
  <c r="M193" i="28"/>
  <c r="V193" i="28"/>
  <c r="H174" i="28"/>
  <c r="AE197" i="28"/>
  <c r="I174" i="28"/>
  <c r="F185" i="28"/>
  <c r="AC174" i="28"/>
  <c r="N185" i="28"/>
  <c r="K185" i="28"/>
  <c r="W185" i="28"/>
  <c r="I185" i="28"/>
  <c r="R185" i="28"/>
  <c r="M185" i="28"/>
  <c r="U185" i="28"/>
  <c r="X185" i="28"/>
  <c r="Q185" i="28"/>
  <c r="J185" i="28"/>
  <c r="Y185" i="28"/>
  <c r="S185" i="28"/>
  <c r="T185" i="28"/>
  <c r="G185" i="28"/>
  <c r="L185" i="28"/>
  <c r="P185" i="28"/>
  <c r="V185" i="28"/>
  <c r="AC197" i="28"/>
  <c r="AA174" i="28"/>
  <c r="G174" i="28"/>
  <c r="K187" i="28"/>
  <c r="V174" i="28"/>
  <c r="J187" i="28"/>
  <c r="AH197" i="28"/>
  <c r="F174" i="28"/>
  <c r="N187" i="28"/>
  <c r="Q187" i="28"/>
  <c r="N174" i="28"/>
  <c r="R174" i="28"/>
  <c r="G187" i="28"/>
  <c r="AB174" i="28"/>
  <c r="AL197" i="28"/>
  <c r="W187" i="28"/>
  <c r="Y187" i="28"/>
  <c r="H187" i="28"/>
  <c r="L174" i="28"/>
  <c r="AS197" i="28"/>
  <c r="AQ197" i="28"/>
  <c r="O174" i="28"/>
  <c r="AF197" i="28"/>
  <c r="J174" i="28"/>
  <c r="AD197" i="28"/>
  <c r="R187" i="28"/>
  <c r="I187" i="28"/>
  <c r="O187" i="28"/>
  <c r="Y174" i="28"/>
  <c r="S187" i="28"/>
  <c r="L187" i="28"/>
  <c r="P187" i="28"/>
  <c r="M174" i="28"/>
  <c r="AB197" i="28"/>
  <c r="AG197" i="28"/>
  <c r="V187" i="28"/>
  <c r="T187" i="28"/>
  <c r="X187" i="28"/>
  <c r="X174" i="28"/>
  <c r="M187" i="28"/>
  <c r="F187" i="28"/>
  <c r="K174" i="28"/>
  <c r="AR197" i="28"/>
  <c r="AM197" i="28"/>
  <c r="AO197" i="28"/>
  <c r="S174" i="28"/>
  <c r="U174" i="28"/>
  <c r="AA197" i="28"/>
  <c r="AI197" i="28"/>
  <c r="P174" i="28"/>
  <c r="T174" i="28"/>
  <c r="AJ197" i="28"/>
  <c r="AN197" i="28"/>
  <c r="Q174" i="28"/>
  <c r="W174" i="28"/>
  <c r="AP197" i="28"/>
  <c r="AK197" i="28"/>
  <c r="Z174" i="28"/>
  <c r="AQ92" i="28"/>
  <c r="AC92" i="28"/>
  <c r="AT92" i="28"/>
  <c r="AD174" i="28"/>
  <c r="AR97" i="28"/>
  <c r="AR115" i="28" s="1"/>
  <c r="X92" i="28"/>
  <c r="AT97" i="28"/>
  <c r="AT115" i="28" s="1"/>
  <c r="Z92" i="28"/>
  <c r="L92" i="28"/>
  <c r="AF97" i="28"/>
  <c r="AF115" i="28" s="1"/>
  <c r="AK92" i="28"/>
  <c r="AA97" i="28"/>
  <c r="AA115" i="28" s="1"/>
  <c r="G92" i="28"/>
  <c r="AF92" i="28"/>
  <c r="W106" i="28"/>
  <c r="O106" i="28"/>
  <c r="G106" i="28"/>
  <c r="V106" i="28"/>
  <c r="N106" i="28"/>
  <c r="F106" i="28"/>
  <c r="U106" i="28"/>
  <c r="M106" i="28"/>
  <c r="T106" i="28"/>
  <c r="L106" i="28"/>
  <c r="S106" i="28"/>
  <c r="K106" i="28"/>
  <c r="Z106" i="28"/>
  <c r="R106" i="28"/>
  <c r="J106" i="28"/>
  <c r="Y106" i="28"/>
  <c r="Q106" i="28"/>
  <c r="I106" i="28"/>
  <c r="H106" i="28"/>
  <c r="P106" i="28"/>
  <c r="X106" i="28"/>
  <c r="X110" i="28"/>
  <c r="P110" i="28"/>
  <c r="H110" i="28"/>
  <c r="W110" i="28"/>
  <c r="O110" i="28"/>
  <c r="G110" i="28"/>
  <c r="V110" i="28"/>
  <c r="N110" i="28"/>
  <c r="F110" i="28"/>
  <c r="U110" i="28"/>
  <c r="M110" i="28"/>
  <c r="T110" i="28"/>
  <c r="L110" i="28"/>
  <c r="S110" i="28"/>
  <c r="K110" i="28"/>
  <c r="Z110" i="28"/>
  <c r="R110" i="28"/>
  <c r="J110" i="28"/>
  <c r="Y110" i="28"/>
  <c r="Q110" i="28"/>
  <c r="I110" i="28"/>
  <c r="AK97" i="28"/>
  <c r="AK115" i="28" s="1"/>
  <c r="Q92" i="28"/>
  <c r="AH92" i="28"/>
  <c r="T92" i="28"/>
  <c r="AN97" i="28"/>
  <c r="AN115" i="28" s="1"/>
  <c r="AS92" i="28"/>
  <c r="AI97" i="28"/>
  <c r="AI115" i="28" s="1"/>
  <c r="O92" i="28"/>
  <c r="AN92" i="28"/>
  <c r="S98" i="28"/>
  <c r="K98" i="28"/>
  <c r="Z98" i="28"/>
  <c r="R98" i="28"/>
  <c r="J98" i="28"/>
  <c r="Y98" i="28"/>
  <c r="Q98" i="28"/>
  <c r="I98" i="28"/>
  <c r="X98" i="28"/>
  <c r="P98" i="28"/>
  <c r="H98" i="28"/>
  <c r="W98" i="28"/>
  <c r="O98" i="28"/>
  <c r="G98" i="28"/>
  <c r="V98" i="28"/>
  <c r="N98" i="28"/>
  <c r="F98" i="28"/>
  <c r="U98" i="28"/>
  <c r="M98" i="28"/>
  <c r="T98" i="28"/>
  <c r="L98" i="28"/>
  <c r="V103" i="28"/>
  <c r="N103" i="28"/>
  <c r="F103" i="28"/>
  <c r="U103" i="28"/>
  <c r="M103" i="28"/>
  <c r="O103" i="28"/>
  <c r="T103" i="28"/>
  <c r="L103" i="28"/>
  <c r="S103" i="28"/>
  <c r="K103" i="28"/>
  <c r="W103" i="28"/>
  <c r="Z103" i="28"/>
  <c r="R103" i="28"/>
  <c r="J103" i="28"/>
  <c r="Y103" i="28"/>
  <c r="Q103" i="28"/>
  <c r="I103" i="28"/>
  <c r="G103" i="28"/>
  <c r="X103" i="28"/>
  <c r="P103" i="28"/>
  <c r="H103" i="28"/>
  <c r="X104" i="28"/>
  <c r="P104" i="28"/>
  <c r="H104" i="28"/>
  <c r="W104" i="28"/>
  <c r="O104" i="28"/>
  <c r="V104" i="28"/>
  <c r="N104" i="28"/>
  <c r="F104" i="28"/>
  <c r="U104" i="28"/>
  <c r="M104" i="28"/>
  <c r="T104" i="28"/>
  <c r="S104" i="28"/>
  <c r="K104" i="28"/>
  <c r="Z104" i="28"/>
  <c r="R104" i="28"/>
  <c r="J104" i="28"/>
  <c r="Y104" i="28"/>
  <c r="Q104" i="28"/>
  <c r="L104" i="28"/>
  <c r="I104" i="28"/>
  <c r="G104" i="28"/>
  <c r="AC97" i="28"/>
  <c r="AC115" i="28" s="1"/>
  <c r="I92" i="28"/>
  <c r="AP92" i="28"/>
  <c r="AB92" i="28"/>
  <c r="V97" i="28"/>
  <c r="N97" i="28"/>
  <c r="F97" i="28"/>
  <c r="U97" i="28"/>
  <c r="M97" i="28"/>
  <c r="W97" i="28"/>
  <c r="T97" i="28"/>
  <c r="L97" i="28"/>
  <c r="S97" i="28"/>
  <c r="K97" i="28"/>
  <c r="Z97" i="28"/>
  <c r="R97" i="28"/>
  <c r="J97" i="28"/>
  <c r="Y97" i="28"/>
  <c r="Q97" i="28"/>
  <c r="I97" i="28"/>
  <c r="X97" i="28"/>
  <c r="P97" i="28"/>
  <c r="H97" i="28"/>
  <c r="F92" i="28"/>
  <c r="G97" i="28"/>
  <c r="O97" i="28"/>
  <c r="AQ97" i="28"/>
  <c r="AQ115" i="28" s="1"/>
  <c r="W92" i="28"/>
  <c r="AF168" i="28"/>
  <c r="AF169" i="28"/>
  <c r="AE162" i="28"/>
  <c r="AE163" i="28"/>
  <c r="Y114" i="28"/>
  <c r="Q114" i="28"/>
  <c r="I114" i="28"/>
  <c r="X114" i="28"/>
  <c r="P114" i="28"/>
  <c r="H114" i="28"/>
  <c r="W114" i="28"/>
  <c r="O114" i="28"/>
  <c r="G114" i="28"/>
  <c r="V114" i="28"/>
  <c r="N114" i="28"/>
  <c r="F114" i="28"/>
  <c r="U114" i="28"/>
  <c r="M114" i="28"/>
  <c r="T114" i="28"/>
  <c r="L114" i="28"/>
  <c r="S114" i="28"/>
  <c r="K114" i="28"/>
  <c r="Z114" i="28"/>
  <c r="R114" i="28"/>
  <c r="J114" i="28"/>
  <c r="AS97" i="28"/>
  <c r="AS115" i="28" s="1"/>
  <c r="Y92" i="28"/>
  <c r="K92" i="28"/>
  <c r="AE97" i="28"/>
  <c r="AE115" i="28" s="1"/>
  <c r="AJ92" i="28"/>
  <c r="AH97" i="28"/>
  <c r="N92" i="28"/>
  <c r="AE92" i="28"/>
  <c r="AE159" i="28"/>
  <c r="AE160" i="28"/>
  <c r="X99" i="28"/>
  <c r="P99" i="28"/>
  <c r="H99" i="28"/>
  <c r="W99" i="28"/>
  <c r="O99" i="28"/>
  <c r="G99" i="28"/>
  <c r="Y99" i="28"/>
  <c r="V99" i="28"/>
  <c r="N99" i="28"/>
  <c r="F99" i="28"/>
  <c r="U99" i="28"/>
  <c r="M99" i="28"/>
  <c r="T99" i="28"/>
  <c r="L99" i="28"/>
  <c r="S99" i="28"/>
  <c r="K99" i="28"/>
  <c r="I99" i="28"/>
  <c r="Z99" i="28"/>
  <c r="R99" i="28"/>
  <c r="J99" i="28"/>
  <c r="Q99" i="28"/>
  <c r="Y108" i="28"/>
  <c r="Q108" i="28"/>
  <c r="I108" i="28"/>
  <c r="X108" i="28"/>
  <c r="P108" i="28"/>
  <c r="H108" i="28"/>
  <c r="W108" i="28"/>
  <c r="O108" i="28"/>
  <c r="G108" i="28"/>
  <c r="V108" i="28"/>
  <c r="N108" i="28"/>
  <c r="F108" i="28"/>
  <c r="U108" i="28"/>
  <c r="M108" i="28"/>
  <c r="T108" i="28"/>
  <c r="L108" i="28"/>
  <c r="S108" i="28"/>
  <c r="K108" i="28"/>
  <c r="Z108" i="28"/>
  <c r="R108" i="28"/>
  <c r="J108" i="28"/>
  <c r="AG92" i="28"/>
  <c r="AM97" i="28"/>
  <c r="AM115" i="28" s="1"/>
  <c r="S92" i="28"/>
  <c r="AR92" i="28"/>
  <c r="AP97" i="28"/>
  <c r="AP115" i="28" s="1"/>
  <c r="V92" i="28"/>
  <c r="AM92" i="28"/>
  <c r="T107" i="28"/>
  <c r="L107" i="28"/>
  <c r="S107" i="28"/>
  <c r="K107" i="28"/>
  <c r="Z107" i="28"/>
  <c r="R107" i="28"/>
  <c r="J107" i="28"/>
  <c r="Y107" i="28"/>
  <c r="Q107" i="28"/>
  <c r="I107" i="28"/>
  <c r="X107" i="28"/>
  <c r="P107" i="28"/>
  <c r="H107" i="28"/>
  <c r="W107" i="28"/>
  <c r="O107" i="28"/>
  <c r="G107" i="28"/>
  <c r="V107" i="28"/>
  <c r="N107" i="28"/>
  <c r="F107" i="28"/>
  <c r="U107" i="28"/>
  <c r="M107" i="28"/>
  <c r="U105" i="28"/>
  <c r="M105" i="28"/>
  <c r="T105" i="28"/>
  <c r="L105" i="28"/>
  <c r="S105" i="28"/>
  <c r="K105" i="28"/>
  <c r="Z105" i="28"/>
  <c r="R105" i="28"/>
  <c r="J105" i="28"/>
  <c r="Y105" i="28"/>
  <c r="Q105" i="28"/>
  <c r="I105" i="28"/>
  <c r="X105" i="28"/>
  <c r="P105" i="28"/>
  <c r="H105" i="28"/>
  <c r="W105" i="28"/>
  <c r="O105" i="28"/>
  <c r="G105" i="28"/>
  <c r="V105" i="28"/>
  <c r="N105" i="28"/>
  <c r="F105" i="28"/>
  <c r="AE165" i="28"/>
  <c r="AE166" i="28"/>
  <c r="Z100" i="28"/>
  <c r="R100" i="28"/>
  <c r="J100" i="28"/>
  <c r="Y100" i="28"/>
  <c r="Q100" i="28"/>
  <c r="I100" i="28"/>
  <c r="K100" i="28"/>
  <c r="X100" i="28"/>
  <c r="P100" i="28"/>
  <c r="H100" i="28"/>
  <c r="W100" i="28"/>
  <c r="O100" i="28"/>
  <c r="G100" i="28"/>
  <c r="V100" i="28"/>
  <c r="N100" i="28"/>
  <c r="F100" i="28"/>
  <c r="U100" i="28"/>
  <c r="M100" i="28"/>
  <c r="S100" i="28"/>
  <c r="T100" i="28"/>
  <c r="L100" i="28"/>
  <c r="AL97" i="28"/>
  <c r="AL115" i="28" s="1"/>
  <c r="R92" i="28"/>
  <c r="W112" i="28"/>
  <c r="O112" i="28"/>
  <c r="G112" i="28"/>
  <c r="V112" i="28"/>
  <c r="N112" i="28"/>
  <c r="F112" i="28"/>
  <c r="U112" i="28"/>
  <c r="M112" i="28"/>
  <c r="T112" i="28"/>
  <c r="L112" i="28"/>
  <c r="S112" i="28"/>
  <c r="K112" i="28"/>
  <c r="Z112" i="28"/>
  <c r="R112" i="28"/>
  <c r="J112" i="28"/>
  <c r="Y112" i="28"/>
  <c r="Q112" i="28"/>
  <c r="I112" i="28"/>
  <c r="X112" i="28"/>
  <c r="H112" i="28"/>
  <c r="P112" i="28"/>
  <c r="AO92" i="28"/>
  <c r="AA92" i="28"/>
  <c r="M92" i="28"/>
  <c r="AG97" i="28"/>
  <c r="AG115" i="28" s="1"/>
  <c r="AD92" i="28"/>
  <c r="AB97" i="28"/>
  <c r="AB115" i="28" s="1"/>
  <c r="H92" i="28"/>
  <c r="W101" i="28"/>
  <c r="O101" i="28"/>
  <c r="G101" i="28"/>
  <c r="V101" i="28"/>
  <c r="N101" i="28"/>
  <c r="F101" i="28"/>
  <c r="P101" i="28"/>
  <c r="U101" i="28"/>
  <c r="M101" i="28"/>
  <c r="T101" i="28"/>
  <c r="L101" i="28"/>
  <c r="X101" i="28"/>
  <c r="S101" i="28"/>
  <c r="K101" i="28"/>
  <c r="Z101" i="28"/>
  <c r="R101" i="28"/>
  <c r="J101" i="28"/>
  <c r="H101" i="28"/>
  <c r="Y101" i="28"/>
  <c r="Q101" i="28"/>
  <c r="I101" i="28"/>
  <c r="U111" i="28"/>
  <c r="M111" i="28"/>
  <c r="T111" i="28"/>
  <c r="L111" i="28"/>
  <c r="S111" i="28"/>
  <c r="K111" i="28"/>
  <c r="Z111" i="28"/>
  <c r="R111" i="28"/>
  <c r="J111" i="28"/>
  <c r="Y111" i="28"/>
  <c r="Q111" i="28"/>
  <c r="I111" i="28"/>
  <c r="X111" i="28"/>
  <c r="P111" i="28"/>
  <c r="H111" i="28"/>
  <c r="W111" i="28"/>
  <c r="O111" i="28"/>
  <c r="G111" i="28"/>
  <c r="V111" i="28"/>
  <c r="N111" i="28"/>
  <c r="F111" i="28"/>
  <c r="T102" i="28"/>
  <c r="L102" i="28"/>
  <c r="S102" i="28"/>
  <c r="K102" i="28"/>
  <c r="U102" i="28"/>
  <c r="Z102" i="28"/>
  <c r="R102" i="28"/>
  <c r="J102" i="28"/>
  <c r="Y102" i="28"/>
  <c r="Q102" i="28"/>
  <c r="I102" i="28"/>
  <c r="X102" i="28"/>
  <c r="P102" i="28"/>
  <c r="H102" i="28"/>
  <c r="W102" i="28"/>
  <c r="O102" i="28"/>
  <c r="G102" i="28"/>
  <c r="M102" i="28"/>
  <c r="V102" i="28"/>
  <c r="N102" i="28"/>
  <c r="F102" i="28"/>
  <c r="S109" i="28"/>
  <c r="K109" i="28"/>
  <c r="Z109" i="28"/>
  <c r="R109" i="28"/>
  <c r="J109" i="28"/>
  <c r="Y109" i="28"/>
  <c r="Q109" i="28"/>
  <c r="I109" i="28"/>
  <c r="X109" i="28"/>
  <c r="P109" i="28"/>
  <c r="H109" i="28"/>
  <c r="W109" i="28"/>
  <c r="O109" i="28"/>
  <c r="G109" i="28"/>
  <c r="V109" i="28"/>
  <c r="N109" i="28"/>
  <c r="F109" i="28"/>
  <c r="U109" i="28"/>
  <c r="M109" i="28"/>
  <c r="L109" i="28"/>
  <c r="T109" i="28"/>
  <c r="AE171" i="28"/>
  <c r="AE172" i="28"/>
  <c r="AG156" i="28"/>
  <c r="AG157" i="28"/>
  <c r="AD97" i="28"/>
  <c r="AD115" i="28" s="1"/>
  <c r="J92" i="28"/>
  <c r="AI92" i="28"/>
  <c r="U92" i="28"/>
  <c r="AO97" i="28"/>
  <c r="AO115" i="28" s="1"/>
  <c r="AL92" i="28"/>
  <c r="AJ97" i="28"/>
  <c r="AJ115" i="28" s="1"/>
  <c r="P92" i="28"/>
  <c r="T113" i="28"/>
  <c r="L113" i="28"/>
  <c r="S113" i="28"/>
  <c r="K113" i="28"/>
  <c r="Z113" i="28"/>
  <c r="R113" i="28"/>
  <c r="J113" i="28"/>
  <c r="Y113" i="28"/>
  <c r="Q113" i="28"/>
  <c r="I113" i="28"/>
  <c r="X113" i="28"/>
  <c r="P113" i="28"/>
  <c r="H113" i="28"/>
  <c r="W113" i="28"/>
  <c r="O113" i="28"/>
  <c r="G113" i="28"/>
  <c r="V113" i="28"/>
  <c r="N113" i="28"/>
  <c r="F113" i="28"/>
  <c r="U113" i="28"/>
  <c r="M113" i="28"/>
  <c r="AH115" i="28" l="1"/>
  <c r="AH120" i="28" s="1"/>
  <c r="Z197" i="28"/>
  <c r="AA175" i="28"/>
  <c r="U197" i="28"/>
  <c r="U201" i="28" s="1"/>
  <c r="F72" i="29"/>
  <c r="F79" i="29" s="1"/>
  <c r="F81" i="29" s="1"/>
  <c r="H197" i="28"/>
  <c r="H201" i="28" s="1"/>
  <c r="H202" i="28" s="1"/>
  <c r="H203" i="28" s="1"/>
  <c r="O197" i="28"/>
  <c r="O201" i="28" s="1"/>
  <c r="O202" i="28" s="1"/>
  <c r="O203" i="28" s="1"/>
  <c r="X197" i="28"/>
  <c r="X201" i="28" s="1"/>
  <c r="H77" i="29"/>
  <c r="H78" i="29" s="1"/>
  <c r="F143" i="29"/>
  <c r="F145" i="29" s="1"/>
  <c r="G64" i="29"/>
  <c r="G65" i="29" s="1"/>
  <c r="H137" i="29"/>
  <c r="H141" i="29" s="1"/>
  <c r="H142" i="29" s="1"/>
  <c r="H63" i="29"/>
  <c r="I61" i="29"/>
  <c r="H68" i="29"/>
  <c r="G71" i="29"/>
  <c r="J106" i="29"/>
  <c r="J110" i="29" s="1"/>
  <c r="J111" i="29" s="1"/>
  <c r="I112" i="29"/>
  <c r="I114" i="29" s="1"/>
  <c r="I60" i="29"/>
  <c r="H62" i="29"/>
  <c r="J120" i="29"/>
  <c r="I123" i="29"/>
  <c r="I125" i="29" s="1"/>
  <c r="I126" i="29" s="1"/>
  <c r="H129" i="29"/>
  <c r="H133" i="29" s="1"/>
  <c r="H134" i="29" s="1"/>
  <c r="J74" i="29"/>
  <c r="I77" i="29"/>
  <c r="I78" i="29" s="1"/>
  <c r="F197" i="28"/>
  <c r="R197" i="28"/>
  <c r="R201" i="28" s="1"/>
  <c r="Q197" i="28"/>
  <c r="Q201" i="28" s="1"/>
  <c r="V197" i="28"/>
  <c r="V201" i="28" s="1"/>
  <c r="K197" i="28"/>
  <c r="K201" i="28" s="1"/>
  <c r="K202" i="28" s="1"/>
  <c r="K203" i="28" s="1"/>
  <c r="AC201" i="28"/>
  <c r="AC202" i="28" s="1"/>
  <c r="AC203" i="28" s="1"/>
  <c r="P197" i="28"/>
  <c r="P201" i="28" s="1"/>
  <c r="P202" i="28" s="1"/>
  <c r="P203" i="28" s="1"/>
  <c r="D249" i="28" s="1"/>
  <c r="AA201" i="28"/>
  <c r="AA202" i="28" s="1"/>
  <c r="AA203" i="28" s="1"/>
  <c r="N197" i="28"/>
  <c r="N201" i="28" s="1"/>
  <c r="L197" i="28"/>
  <c r="L201" i="28" s="1"/>
  <c r="M197" i="28"/>
  <c r="M201" i="28" s="1"/>
  <c r="M202" i="28" s="1"/>
  <c r="M203" i="28" s="1"/>
  <c r="I197" i="28"/>
  <c r="I201" i="28" s="1"/>
  <c r="I202" i="28" s="1"/>
  <c r="I203" i="28" s="1"/>
  <c r="Y197" i="28"/>
  <c r="Y201" i="28" s="1"/>
  <c r="W197" i="28"/>
  <c r="W201" i="28" s="1"/>
  <c r="S197" i="28"/>
  <c r="S201" i="28" s="1"/>
  <c r="G197" i="28"/>
  <c r="G201" i="28" s="1"/>
  <c r="AN120" i="28"/>
  <c r="T197" i="28"/>
  <c r="T201" i="28" s="1"/>
  <c r="J197" i="28"/>
  <c r="J201" i="28" s="1"/>
  <c r="AC120" i="28"/>
  <c r="AQ120" i="28"/>
  <c r="AB201" i="28"/>
  <c r="AL120" i="28"/>
  <c r="AD201" i="28"/>
  <c r="Z201" i="28"/>
  <c r="AE120" i="28"/>
  <c r="AT120" i="28"/>
  <c r="AF120" i="28"/>
  <c r="AO120" i="28"/>
  <c r="AR120" i="28"/>
  <c r="AK120" i="28"/>
  <c r="AD120" i="28"/>
  <c r="AA120" i="28"/>
  <c r="H115" i="28"/>
  <c r="H120" i="28" s="1"/>
  <c r="AM120" i="28"/>
  <c r="O115" i="28"/>
  <c r="O120" i="28" s="1"/>
  <c r="Y115" i="28"/>
  <c r="Y120" i="28" s="1"/>
  <c r="W115" i="28"/>
  <c r="W120" i="28" s="1"/>
  <c r="AE174" i="28"/>
  <c r="AE201" i="28" s="1"/>
  <c r="AF162" i="28"/>
  <c r="AF163" i="28"/>
  <c r="F115" i="28"/>
  <c r="G115" i="28"/>
  <c r="G120" i="28" s="1"/>
  <c r="J115" i="28"/>
  <c r="J120" i="28" s="1"/>
  <c r="M115" i="28"/>
  <c r="M120" i="28" s="1"/>
  <c r="R115" i="28"/>
  <c r="R120" i="28" s="1"/>
  <c r="Z115" i="28"/>
  <c r="Z120" i="28" s="1"/>
  <c r="AH156" i="28"/>
  <c r="AH157" i="28"/>
  <c r="AJ120" i="28"/>
  <c r="P115" i="28"/>
  <c r="P120" i="28" s="1"/>
  <c r="K115" i="28"/>
  <c r="K120" i="28" s="1"/>
  <c r="N115" i="28"/>
  <c r="N120" i="28" s="1"/>
  <c r="AS120" i="28"/>
  <c r="U115" i="28"/>
  <c r="U120" i="28" s="1"/>
  <c r="X115" i="28"/>
  <c r="X120" i="28" s="1"/>
  <c r="S115" i="28"/>
  <c r="S120" i="28" s="1"/>
  <c r="V115" i="28"/>
  <c r="V120" i="28" s="1"/>
  <c r="AG168" i="28"/>
  <c r="AG169" i="28"/>
  <c r="AG120" i="28"/>
  <c r="I115" i="28"/>
  <c r="I120" i="28" s="1"/>
  <c r="L115" i="28"/>
  <c r="L120" i="28" s="1"/>
  <c r="AB120" i="28"/>
  <c r="AF159" i="28"/>
  <c r="AF160" i="28"/>
  <c r="AF165" i="28"/>
  <c r="AF166" i="28"/>
  <c r="AI120" i="28"/>
  <c r="AF171" i="28"/>
  <c r="AF172" i="28"/>
  <c r="Q115" i="28"/>
  <c r="Q120" i="28" s="1"/>
  <c r="T115" i="28"/>
  <c r="T120" i="28" s="1"/>
  <c r="AP120" i="28"/>
  <c r="F201" i="28" l="1"/>
  <c r="F204" i="28" s="1"/>
  <c r="C14" i="28" s="1"/>
  <c r="G72" i="29"/>
  <c r="G79" i="29" s="1"/>
  <c r="G81" i="29" s="1"/>
  <c r="H64" i="29"/>
  <c r="H65" i="29" s="1"/>
  <c r="G143" i="29"/>
  <c r="G145" i="29" s="1"/>
  <c r="I63" i="29"/>
  <c r="J61" i="29"/>
  <c r="I137" i="29"/>
  <c r="I141" i="29" s="1"/>
  <c r="I142" i="29" s="1"/>
  <c r="K120" i="29"/>
  <c r="J123" i="29"/>
  <c r="J125" i="29" s="1"/>
  <c r="J126" i="29" s="1"/>
  <c r="I129" i="29"/>
  <c r="I133" i="29" s="1"/>
  <c r="I134" i="29" s="1"/>
  <c r="K106" i="29"/>
  <c r="K110" i="29" s="1"/>
  <c r="K111" i="29" s="1"/>
  <c r="J112" i="29"/>
  <c r="J114" i="29" s="1"/>
  <c r="I68" i="29"/>
  <c r="H71" i="29"/>
  <c r="K74" i="29"/>
  <c r="J77" i="29"/>
  <c r="J78" i="29" s="1"/>
  <c r="I62" i="29"/>
  <c r="J60" i="29"/>
  <c r="AQ121" i="28"/>
  <c r="AQ122" i="28" s="1"/>
  <c r="AK121" i="28"/>
  <c r="AK122" i="28" s="1"/>
  <c r="AF121" i="28"/>
  <c r="AF122" i="28" s="1"/>
  <c r="V202" i="28"/>
  <c r="V203" i="28" s="1"/>
  <c r="F120" i="28"/>
  <c r="F123" i="28" s="1"/>
  <c r="C13" i="28" s="1"/>
  <c r="AN121" i="28"/>
  <c r="AN122" i="28" s="1"/>
  <c r="AR121" i="28"/>
  <c r="AR122" i="28" s="1"/>
  <c r="AE121" i="28"/>
  <c r="AE122" i="28" s="1"/>
  <c r="L202" i="28"/>
  <c r="L203" i="28" s="1"/>
  <c r="G202" i="28"/>
  <c r="G203" i="28" s="1"/>
  <c r="J202" i="28"/>
  <c r="J203" i="28" s="1"/>
  <c r="S202" i="28"/>
  <c r="S203" i="28" s="1"/>
  <c r="AB202" i="28"/>
  <c r="AB203" i="28" s="1"/>
  <c r="AC121" i="28"/>
  <c r="AC122" i="28" s="1"/>
  <c r="AC208" i="28" s="1"/>
  <c r="X202" i="28"/>
  <c r="X203" i="28" s="1"/>
  <c r="AL121" i="28"/>
  <c r="AL122" i="28" s="1"/>
  <c r="N202" i="28"/>
  <c r="N203" i="28" s="1"/>
  <c r="Y202" i="28"/>
  <c r="Y203" i="28" s="1"/>
  <c r="Z202" i="28"/>
  <c r="Z203" i="28" s="1"/>
  <c r="E249" i="28" s="1"/>
  <c r="U202" i="28"/>
  <c r="U203" i="28" s="1"/>
  <c r="AO121" i="28"/>
  <c r="AO122" i="28" s="1"/>
  <c r="Q202" i="28"/>
  <c r="Q203" i="28" s="1"/>
  <c r="R202" i="28"/>
  <c r="R203" i="28" s="1"/>
  <c r="AD202" i="28"/>
  <c r="AD203" i="28" s="1"/>
  <c r="T202" i="28"/>
  <c r="T203" i="28" s="1"/>
  <c r="W202" i="28"/>
  <c r="W203" i="28" s="1"/>
  <c r="AD121" i="28"/>
  <c r="AD122" i="28" s="1"/>
  <c r="AT121" i="28"/>
  <c r="AT122" i="28" s="1"/>
  <c r="G219" i="28" s="1"/>
  <c r="AA121" i="28"/>
  <c r="AA122" i="28" s="1"/>
  <c r="AA208" i="28" s="1"/>
  <c r="G121" i="28"/>
  <c r="G122" i="28" s="1"/>
  <c r="O121" i="28"/>
  <c r="O122" i="28" s="1"/>
  <c r="O208" i="28" s="1"/>
  <c r="S121" i="28"/>
  <c r="S122" i="28" s="1"/>
  <c r="U121" i="28"/>
  <c r="U122" i="28" s="1"/>
  <c r="L121" i="28"/>
  <c r="L122" i="28" s="1"/>
  <c r="Q121" i="28"/>
  <c r="Q122" i="28" s="1"/>
  <c r="I121" i="28"/>
  <c r="I122" i="28" s="1"/>
  <c r="I208" i="28" s="1"/>
  <c r="P121" i="28"/>
  <c r="P122" i="28" s="1"/>
  <c r="X121" i="28"/>
  <c r="X122" i="28" s="1"/>
  <c r="Z121" i="28"/>
  <c r="Z122" i="28" s="1"/>
  <c r="E219" i="28" s="1"/>
  <c r="T121" i="28"/>
  <c r="T122" i="28" s="1"/>
  <c r="J121" i="28"/>
  <c r="J122" i="28" s="1"/>
  <c r="AG159" i="28"/>
  <c r="AG160" i="28"/>
  <c r="N121" i="28"/>
  <c r="N122" i="28" s="1"/>
  <c r="AI121" i="28"/>
  <c r="AI122" i="28" s="1"/>
  <c r="AE202" i="28"/>
  <c r="AE203" i="28" s="1"/>
  <c r="AF174" i="28"/>
  <c r="AF201" i="28" s="1"/>
  <c r="M121" i="28"/>
  <c r="M122" i="28" s="1"/>
  <c r="M208" i="28" s="1"/>
  <c r="AP121" i="28"/>
  <c r="AP122" i="28" s="1"/>
  <c r="AG165" i="28"/>
  <c r="AG166" i="28"/>
  <c r="AG121" i="28"/>
  <c r="AG122" i="28" s="1"/>
  <c r="W121" i="28"/>
  <c r="W122" i="28" s="1"/>
  <c r="AH121" i="28"/>
  <c r="AH122" i="28" s="1"/>
  <c r="K121" i="28"/>
  <c r="K122" i="28" s="1"/>
  <c r="K208" i="28" s="1"/>
  <c r="AM121" i="28"/>
  <c r="AM122" i="28" s="1"/>
  <c r="R121" i="28"/>
  <c r="R122" i="28" s="1"/>
  <c r="AH168" i="28"/>
  <c r="AH169" i="28"/>
  <c r="AS121" i="28"/>
  <c r="AS122" i="28" s="1"/>
  <c r="AI156" i="28"/>
  <c r="AI157" i="28"/>
  <c r="AG171" i="28"/>
  <c r="AG172" i="28"/>
  <c r="AJ121" i="28"/>
  <c r="AJ122" i="28" s="1"/>
  <c r="F219" i="28" s="1"/>
  <c r="V121" i="28"/>
  <c r="V122" i="28" s="1"/>
  <c r="Y121" i="28"/>
  <c r="Y122" i="28" s="1"/>
  <c r="AB121" i="28"/>
  <c r="AB122" i="28" s="1"/>
  <c r="H121" i="28"/>
  <c r="H122" i="28" s="1"/>
  <c r="H208" i="28" s="1"/>
  <c r="AG162" i="28"/>
  <c r="AG163" i="28"/>
  <c r="P208" i="28" l="1"/>
  <c r="D219" i="28"/>
  <c r="AE208" i="28"/>
  <c r="F202" i="28"/>
  <c r="F203" i="28" s="1"/>
  <c r="G208" i="28"/>
  <c r="N208" i="28"/>
  <c r="F209" i="28"/>
  <c r="G204" i="28"/>
  <c r="H204" i="28" s="1"/>
  <c r="T208" i="28"/>
  <c r="H72" i="29"/>
  <c r="H79" i="29" s="1"/>
  <c r="H81" i="29" s="1"/>
  <c r="AB208" i="28"/>
  <c r="L208" i="28"/>
  <c r="AD208" i="28"/>
  <c r="U208" i="28"/>
  <c r="S208" i="28"/>
  <c r="R208" i="28"/>
  <c r="Z208" i="28"/>
  <c r="X208" i="28"/>
  <c r="J208" i="28"/>
  <c r="W208" i="28"/>
  <c r="Q208" i="28"/>
  <c r="Y208" i="28"/>
  <c r="V208" i="28"/>
  <c r="I64" i="29"/>
  <c r="I65" i="29" s="1"/>
  <c r="H143" i="29"/>
  <c r="H145" i="29" s="1"/>
  <c r="J137" i="29"/>
  <c r="J141" i="29" s="1"/>
  <c r="J142" i="29" s="1"/>
  <c r="J63" i="29"/>
  <c r="K61" i="29"/>
  <c r="L74" i="29"/>
  <c r="K77" i="29"/>
  <c r="K78" i="29" s="1"/>
  <c r="J129" i="29"/>
  <c r="J133" i="29" s="1"/>
  <c r="J134" i="29" s="1"/>
  <c r="I71" i="29"/>
  <c r="J68" i="29"/>
  <c r="L106" i="29"/>
  <c r="L110" i="29" s="1"/>
  <c r="L111" i="29" s="1"/>
  <c r="K112" i="29"/>
  <c r="K114" i="29" s="1"/>
  <c r="K60" i="29"/>
  <c r="J62" i="29"/>
  <c r="L120" i="29"/>
  <c r="K123" i="29"/>
  <c r="K125" i="29" s="1"/>
  <c r="K126" i="29" s="1"/>
  <c r="F121" i="28"/>
  <c r="F122" i="28" s="1"/>
  <c r="AH162" i="28"/>
  <c r="AH163" i="28"/>
  <c r="AI168" i="28"/>
  <c r="AI169" i="28"/>
  <c r="AH171" i="28"/>
  <c r="AH172" i="28"/>
  <c r="AF202" i="28"/>
  <c r="AF203" i="28" s="1"/>
  <c r="AF208" i="28" s="1"/>
  <c r="AH165" i="28"/>
  <c r="AH166" i="28"/>
  <c r="AG174" i="28"/>
  <c r="AG201" i="28" s="1"/>
  <c r="AJ156" i="28"/>
  <c r="AJ157" i="28"/>
  <c r="AH159" i="28"/>
  <c r="AH160" i="28"/>
  <c r="C249" i="28" l="1"/>
  <c r="G14" i="28"/>
  <c r="F208" i="28"/>
  <c r="I209" i="28" s="1"/>
  <c r="AC209" i="28"/>
  <c r="N209" i="28"/>
  <c r="J209" i="28"/>
  <c r="Z209" i="28"/>
  <c r="AD209" i="28"/>
  <c r="K209" i="28"/>
  <c r="G209" i="28"/>
  <c r="L209" i="28"/>
  <c r="T209" i="28"/>
  <c r="AB209" i="28"/>
  <c r="U209" i="28"/>
  <c r="V209" i="28"/>
  <c r="I72" i="29"/>
  <c r="I79" i="29" s="1"/>
  <c r="I81" i="29" s="1"/>
  <c r="G123" i="28"/>
  <c r="H123" i="28" s="1"/>
  <c r="I143" i="29"/>
  <c r="I145" i="29" s="1"/>
  <c r="J64" i="29"/>
  <c r="J65" i="29" s="1"/>
  <c r="L61" i="29"/>
  <c r="K63" i="29"/>
  <c r="K137" i="29"/>
  <c r="K141" i="29" s="1"/>
  <c r="K142" i="29" s="1"/>
  <c r="M106" i="29"/>
  <c r="M110" i="29" s="1"/>
  <c r="M111" i="29" s="1"/>
  <c r="L112" i="29"/>
  <c r="L114" i="29" s="1"/>
  <c r="L123" i="29"/>
  <c r="L125" i="29" s="1"/>
  <c r="L126" i="29" s="1"/>
  <c r="M120" i="29"/>
  <c r="M74" i="29"/>
  <c r="L77" i="29"/>
  <c r="L78" i="29" s="1"/>
  <c r="J71" i="29"/>
  <c r="K68" i="29"/>
  <c r="K62" i="29"/>
  <c r="L60" i="29"/>
  <c r="K129" i="29"/>
  <c r="K133" i="29" s="1"/>
  <c r="K134" i="29" s="1"/>
  <c r="AI159" i="28"/>
  <c r="AI160" i="28"/>
  <c r="AH174" i="28"/>
  <c r="AH201" i="28" s="1"/>
  <c r="AG202" i="28"/>
  <c r="AG203" i="28" s="1"/>
  <c r="AG208" i="28" s="1"/>
  <c r="AJ168" i="28"/>
  <c r="AJ169" i="28"/>
  <c r="AK156" i="28"/>
  <c r="AK157" i="28"/>
  <c r="I204" i="28"/>
  <c r="AI171" i="28"/>
  <c r="AI172" i="28"/>
  <c r="AI162" i="28"/>
  <c r="AI163" i="28"/>
  <c r="AI165" i="28"/>
  <c r="AI166" i="28"/>
  <c r="S209" i="28" l="1"/>
  <c r="R209" i="28"/>
  <c r="AF209" i="28"/>
  <c r="M209" i="28"/>
  <c r="Y209" i="28"/>
  <c r="P209" i="28"/>
  <c r="O209" i="28"/>
  <c r="H209" i="28"/>
  <c r="AE209" i="28"/>
  <c r="W209" i="28"/>
  <c r="X209" i="28"/>
  <c r="AA209" i="28"/>
  <c r="Q209" i="28"/>
  <c r="AG209" i="28"/>
  <c r="J72" i="29"/>
  <c r="J79" i="29" s="1"/>
  <c r="J81" i="29" s="1"/>
  <c r="J143" i="29"/>
  <c r="J145" i="29" s="1"/>
  <c r="L137" i="29"/>
  <c r="L141" i="29" s="1"/>
  <c r="L142" i="29" s="1"/>
  <c r="K64" i="29"/>
  <c r="K65" i="29" s="1"/>
  <c r="L63" i="29"/>
  <c r="M61" i="29"/>
  <c r="M77" i="29"/>
  <c r="M78" i="29" s="1"/>
  <c r="N74" i="29"/>
  <c r="N77" i="29" s="1"/>
  <c r="N78" i="29" s="1"/>
  <c r="L129" i="29"/>
  <c r="L133" i="29" s="1"/>
  <c r="L134" i="29" s="1"/>
  <c r="L62" i="29"/>
  <c r="M60" i="29"/>
  <c r="N120" i="29"/>
  <c r="N123" i="29" s="1"/>
  <c r="N125" i="29" s="1"/>
  <c r="N126" i="29" s="1"/>
  <c r="M123" i="29"/>
  <c r="M125" i="29" s="1"/>
  <c r="M126" i="29" s="1"/>
  <c r="K71" i="29"/>
  <c r="L68" i="29"/>
  <c r="M112" i="29"/>
  <c r="M114" i="29" s="1"/>
  <c r="N106" i="29"/>
  <c r="N110" i="29" s="1"/>
  <c r="N111" i="29" s="1"/>
  <c r="I123" i="28"/>
  <c r="AJ162" i="28"/>
  <c r="AJ163" i="28"/>
  <c r="AH202" i="28"/>
  <c r="AH203" i="28" s="1"/>
  <c r="AH208" i="28" s="1"/>
  <c r="AJ171" i="28"/>
  <c r="AJ172" i="28"/>
  <c r="AL156" i="28"/>
  <c r="AL157" i="28"/>
  <c r="AJ159" i="28"/>
  <c r="AJ160" i="28"/>
  <c r="AJ165" i="28"/>
  <c r="AJ166" i="28"/>
  <c r="J204" i="28"/>
  <c r="AK168" i="28"/>
  <c r="AK169" i="28"/>
  <c r="AI174" i="28"/>
  <c r="AI201" i="28" s="1"/>
  <c r="AH209" i="28" l="1"/>
  <c r="K72" i="29"/>
  <c r="K79" i="29" s="1"/>
  <c r="K81" i="29" s="1"/>
  <c r="K143" i="29"/>
  <c r="K145" i="29" s="1"/>
  <c r="L64" i="29"/>
  <c r="L65" i="29" s="1"/>
  <c r="N61" i="29"/>
  <c r="N63" i="29" s="1"/>
  <c r="M63" i="29"/>
  <c r="N112" i="29"/>
  <c r="M137" i="29"/>
  <c r="M141" i="29" s="1"/>
  <c r="M142" i="29" s="1"/>
  <c r="M129" i="29"/>
  <c r="M133" i="29" s="1"/>
  <c r="M134" i="29" s="1"/>
  <c r="M68" i="29"/>
  <c r="L71" i="29"/>
  <c r="D21" i="29"/>
  <c r="E21" i="29" s="1"/>
  <c r="M62" i="29"/>
  <c r="N60" i="29"/>
  <c r="N62" i="29" s="1"/>
  <c r="J123" i="28"/>
  <c r="AJ174" i="28"/>
  <c r="AJ201" i="28" s="1"/>
  <c r="AL168" i="28"/>
  <c r="AL169" i="28"/>
  <c r="AK159" i="28"/>
  <c r="AK160" i="28"/>
  <c r="AK171" i="28"/>
  <c r="AK172" i="28"/>
  <c r="K204" i="28"/>
  <c r="AK165" i="28"/>
  <c r="AK166" i="28"/>
  <c r="AI202" i="28"/>
  <c r="AI203" i="28" s="1"/>
  <c r="AI208" i="28" s="1"/>
  <c r="AK162" i="28"/>
  <c r="AK163" i="28"/>
  <c r="AM156" i="28"/>
  <c r="AM157" i="28"/>
  <c r="AI209" i="28" l="1"/>
  <c r="L72" i="29"/>
  <c r="L79" i="29" s="1"/>
  <c r="L81" i="29" s="1"/>
  <c r="L143" i="29"/>
  <c r="L145" i="29" s="1"/>
  <c r="D15" i="29"/>
  <c r="E15" i="29" s="1"/>
  <c r="N114" i="29"/>
  <c r="N64" i="29"/>
  <c r="N65" i="29" s="1"/>
  <c r="D19" i="29" s="1"/>
  <c r="F21" i="29" s="1"/>
  <c r="N137" i="29"/>
  <c r="N141" i="29" s="1"/>
  <c r="N142" i="29" s="1"/>
  <c r="M64" i="29"/>
  <c r="M65" i="29" s="1"/>
  <c r="N68" i="29"/>
  <c r="N71" i="29" s="1"/>
  <c r="M71" i="29"/>
  <c r="N129" i="29"/>
  <c r="N133" i="29" s="1"/>
  <c r="N134" i="29" s="1"/>
  <c r="K123" i="28"/>
  <c r="AJ202" i="28"/>
  <c r="AJ203" i="28" s="1"/>
  <c r="AL162" i="28"/>
  <c r="AL163" i="28"/>
  <c r="AL165" i="28"/>
  <c r="AL166" i="28"/>
  <c r="AL171" i="28"/>
  <c r="AL172" i="28"/>
  <c r="AK174" i="28"/>
  <c r="AK201" i="28" s="1"/>
  <c r="AL159" i="28"/>
  <c r="AL160" i="28"/>
  <c r="L204" i="28"/>
  <c r="AN156" i="28"/>
  <c r="AN157" i="28"/>
  <c r="AM168" i="28"/>
  <c r="AM169" i="28"/>
  <c r="AJ208" i="28" l="1"/>
  <c r="AJ209" i="28" s="1"/>
  <c r="F249" i="28"/>
  <c r="M72" i="29"/>
  <c r="M79" i="29" s="1"/>
  <c r="M81" i="29" s="1"/>
  <c r="N72" i="29"/>
  <c r="N79" i="29" s="1"/>
  <c r="D25" i="29"/>
  <c r="E25" i="29" s="1"/>
  <c r="M143" i="29"/>
  <c r="M145" i="29" s="1"/>
  <c r="F20" i="29"/>
  <c r="L123" i="28"/>
  <c r="M204" i="28"/>
  <c r="AM171" i="28"/>
  <c r="AM172" i="28"/>
  <c r="AN168" i="28"/>
  <c r="AN169" i="28"/>
  <c r="AM165" i="28"/>
  <c r="AM166" i="28"/>
  <c r="AM159" i="28"/>
  <c r="AM160" i="28"/>
  <c r="AL174" i="28"/>
  <c r="AL201" i="28" s="1"/>
  <c r="AO156" i="28"/>
  <c r="AO157" i="28"/>
  <c r="AK202" i="28"/>
  <c r="AK203" i="28" s="1"/>
  <c r="AK208" i="28" s="1"/>
  <c r="AM162" i="28"/>
  <c r="AM163" i="28"/>
  <c r="AK209" i="28" l="1"/>
  <c r="D14" i="29"/>
  <c r="F15" i="29" s="1"/>
  <c r="N81" i="29"/>
  <c r="N143" i="29"/>
  <c r="D16" i="29" s="1"/>
  <c r="E16" i="29" s="1"/>
  <c r="M123" i="28"/>
  <c r="AO168" i="28"/>
  <c r="AO169" i="28"/>
  <c r="AN159" i="28"/>
  <c r="AN160" i="28"/>
  <c r="AM174" i="28"/>
  <c r="AM201" i="28" s="1"/>
  <c r="AN171" i="28"/>
  <c r="AN172" i="28"/>
  <c r="AP156" i="28"/>
  <c r="AP157" i="28"/>
  <c r="AN165" i="28"/>
  <c r="AN166" i="28"/>
  <c r="N204" i="28"/>
  <c r="AN162" i="28"/>
  <c r="AN163" i="28"/>
  <c r="AL202" i="28"/>
  <c r="AL203" i="28" s="1"/>
  <c r="AL208" i="28" s="1"/>
  <c r="AL209" i="28" s="1"/>
  <c r="F16" i="29" l="1"/>
  <c r="D24" i="29"/>
  <c r="N145" i="29"/>
  <c r="D26" i="29"/>
  <c r="E26" i="29" s="1"/>
  <c r="N123" i="28"/>
  <c r="AN174" i="28"/>
  <c r="AN201" i="28" s="1"/>
  <c r="AO159" i="28"/>
  <c r="AO160" i="28"/>
  <c r="AO162" i="28"/>
  <c r="AO163" i="28"/>
  <c r="AO171" i="28"/>
  <c r="AO172" i="28"/>
  <c r="O204" i="28"/>
  <c r="AO165" i="28"/>
  <c r="AO166" i="28"/>
  <c r="AP168" i="28"/>
  <c r="AP169" i="28"/>
  <c r="AQ156" i="28"/>
  <c r="AQ157" i="28"/>
  <c r="AM202" i="28"/>
  <c r="AM203" i="28" s="1"/>
  <c r="AM208" i="28" s="1"/>
  <c r="AM209" i="28" s="1"/>
  <c r="F25" i="29" l="1"/>
  <c r="F26" i="29"/>
  <c r="O123" i="28"/>
  <c r="AN202" i="28"/>
  <c r="AN203" i="28" s="1"/>
  <c r="AN208" i="28" s="1"/>
  <c r="AN209" i="28" s="1"/>
  <c r="P204" i="28"/>
  <c r="AP171" i="28"/>
  <c r="AP172" i="28"/>
  <c r="AR156" i="28"/>
  <c r="AR157" i="28"/>
  <c r="AP162" i="28"/>
  <c r="AP163" i="28"/>
  <c r="AO174" i="28"/>
  <c r="AO201" i="28" s="1"/>
  <c r="AP159" i="28"/>
  <c r="AP160" i="28"/>
  <c r="AQ168" i="28"/>
  <c r="AQ169" i="28"/>
  <c r="AP165" i="28"/>
  <c r="AP166" i="28"/>
  <c r="P123" i="28" l="1"/>
  <c r="AS156" i="28"/>
  <c r="AS157" i="28"/>
  <c r="AQ159" i="28"/>
  <c r="AQ160" i="28"/>
  <c r="AQ165" i="28"/>
  <c r="AQ166" i="28"/>
  <c r="AR168" i="28"/>
  <c r="AR169" i="28"/>
  <c r="AQ162" i="28"/>
  <c r="AQ163" i="28"/>
  <c r="AO202" i="28"/>
  <c r="AO203" i="28" s="1"/>
  <c r="AO208" i="28" s="1"/>
  <c r="AO209" i="28" s="1"/>
  <c r="AQ171" i="28"/>
  <c r="AQ172" i="28"/>
  <c r="Q204" i="28"/>
  <c r="AP174" i="28"/>
  <c r="AP201" i="28" s="1"/>
  <c r="Q123" i="28" l="1"/>
  <c r="R204" i="28"/>
  <c r="AP202" i="28"/>
  <c r="AP203" i="28" s="1"/>
  <c r="AP208" i="28" s="1"/>
  <c r="AP209" i="28" s="1"/>
  <c r="AR159" i="28"/>
  <c r="AR160" i="28"/>
  <c r="AR171" i="28"/>
  <c r="AR172" i="28"/>
  <c r="AQ174" i="28"/>
  <c r="AQ201" i="28" s="1"/>
  <c r="AS168" i="28"/>
  <c r="AS169" i="28"/>
  <c r="AR162" i="28"/>
  <c r="AR163" i="28"/>
  <c r="AR165" i="28"/>
  <c r="AR166" i="28"/>
  <c r="AT156" i="28"/>
  <c r="AT157" i="28"/>
  <c r="R123" i="28" l="1"/>
  <c r="AS165" i="28"/>
  <c r="AS166" i="28"/>
  <c r="AS159" i="28"/>
  <c r="AS160" i="28"/>
  <c r="AT168" i="28"/>
  <c r="AT169" i="28"/>
  <c r="AR174" i="28"/>
  <c r="AR201" i="28" s="1"/>
  <c r="AS162" i="28"/>
  <c r="AS163" i="28"/>
  <c r="AQ202" i="28"/>
  <c r="AQ203" i="28" s="1"/>
  <c r="AQ208" i="28" s="1"/>
  <c r="AQ209" i="28" s="1"/>
  <c r="AS171" i="28"/>
  <c r="AS172" i="28"/>
  <c r="S204" i="28"/>
  <c r="S123" i="28" l="1"/>
  <c r="AS174" i="28"/>
  <c r="AS201" i="28" s="1"/>
  <c r="AT159" i="28"/>
  <c r="AT160" i="28"/>
  <c r="T204" i="28"/>
  <c r="AT162" i="28"/>
  <c r="AT163" i="28"/>
  <c r="AR202" i="28"/>
  <c r="AR203" i="28" s="1"/>
  <c r="AR208" i="28" s="1"/>
  <c r="AR209" i="28" s="1"/>
  <c r="AT165" i="28"/>
  <c r="AT166" i="28"/>
  <c r="AT171" i="28"/>
  <c r="AT172" i="28"/>
  <c r="AS202" i="28" l="1"/>
  <c r="AS203" i="28" s="1"/>
  <c r="AS208" i="28" s="1"/>
  <c r="AS209" i="28" s="1"/>
  <c r="T123" i="28"/>
  <c r="U204" i="28"/>
  <c r="AT174" i="28"/>
  <c r="AT201" i="28" s="1"/>
  <c r="U123" i="28" l="1"/>
  <c r="AT202" i="28"/>
  <c r="AT203" i="28" s="1"/>
  <c r="G249" i="28" s="1"/>
  <c r="V204" i="28"/>
  <c r="AT208" i="28" l="1"/>
  <c r="AT209" i="28" s="1"/>
  <c r="G15" i="28"/>
  <c r="V123" i="28"/>
  <c r="W204" i="28"/>
  <c r="W123" i="28" l="1"/>
  <c r="X204" i="28"/>
  <c r="X123" i="28" l="1"/>
  <c r="Y204" i="28"/>
  <c r="Y123" i="28" l="1"/>
  <c r="Z204" i="28"/>
  <c r="D14" i="28" l="1"/>
  <c r="F14" i="28" s="1"/>
  <c r="D15" i="28"/>
  <c r="Z123" i="28"/>
  <c r="D13" i="28" s="1"/>
  <c r="AA204" i="28"/>
  <c r="AA123" i="28" l="1"/>
  <c r="AB204" i="28"/>
  <c r="AB123" i="28" l="1"/>
  <c r="AC204" i="28"/>
  <c r="AC123" i="28" l="1"/>
  <c r="AD204" i="28"/>
  <c r="AD123" i="28" l="1"/>
  <c r="AE204" i="28"/>
  <c r="AE123" i="28" l="1"/>
  <c r="AF204" i="28"/>
  <c r="AF123" i="28" l="1"/>
  <c r="AG204" i="28"/>
  <c r="AG123" i="28" l="1"/>
  <c r="AH204" i="28"/>
  <c r="AH123" i="28" l="1"/>
  <c r="AI204" i="28"/>
  <c r="AI123" i="28" l="1"/>
  <c r="AJ204" i="28"/>
  <c r="AJ123" i="28" l="1"/>
  <c r="AK204" i="28"/>
  <c r="AK123" i="28" l="1"/>
  <c r="AL204" i="28"/>
  <c r="AL123" i="28" l="1"/>
  <c r="AM204" i="28"/>
  <c r="AM123" i="28" l="1"/>
  <c r="AN204" i="28"/>
  <c r="AN123" i="28" l="1"/>
  <c r="AO204" i="28"/>
  <c r="AO123" i="28" l="1"/>
  <c r="AP204" i="28"/>
  <c r="AP123" i="28" l="1"/>
  <c r="AQ204" i="28"/>
  <c r="AQ123" i="28" l="1"/>
  <c r="AR123" i="28" s="1"/>
  <c r="AS123" i="28" s="1"/>
  <c r="AT123" i="28" s="1"/>
  <c r="E13" i="28" s="1"/>
  <c r="AR204" i="28"/>
  <c r="AS204" i="28" l="1"/>
  <c r="AT204" i="28" l="1"/>
  <c r="E15" i="28" s="1"/>
  <c r="G82" i="27" l="1"/>
  <c r="G81" i="27"/>
  <c r="G80" i="27"/>
  <c r="G79" i="27"/>
  <c r="G78" i="27"/>
  <c r="G77" i="27"/>
  <c r="G74" i="27"/>
  <c r="G59" i="27"/>
  <c r="E40" i="27"/>
  <c r="D40" i="27"/>
  <c r="F39" i="27"/>
  <c r="F38" i="27"/>
  <c r="F37" i="27"/>
  <c r="F36" i="27"/>
  <c r="F35" i="27"/>
  <c r="F34" i="27"/>
  <c r="F33" i="27"/>
  <c r="F32" i="27"/>
  <c r="E22" i="27"/>
  <c r="F22" i="27" s="1"/>
  <c r="F21" i="27"/>
  <c r="F20" i="27"/>
  <c r="F19" i="27"/>
  <c r="D16" i="27"/>
  <c r="F16" i="27" s="1"/>
  <c r="D15" i="27"/>
  <c r="D14" i="27"/>
  <c r="D13" i="27"/>
  <c r="E8" i="27"/>
  <c r="D8" i="27"/>
  <c r="E6" i="27"/>
  <c r="D6" i="27"/>
  <c r="I79" i="27" l="1"/>
  <c r="J79" i="27"/>
  <c r="I77" i="27"/>
  <c r="J77" i="27"/>
  <c r="I81" i="27"/>
  <c r="J81" i="27"/>
  <c r="I78" i="27"/>
  <c r="J78" i="27"/>
  <c r="I80" i="27"/>
  <c r="J80" i="27"/>
  <c r="I82" i="27"/>
  <c r="J82" i="27"/>
  <c r="F40" i="27"/>
  <c r="D19" i="27" s="1"/>
  <c r="F13" i="27"/>
  <c r="H77" i="27"/>
  <c r="H79" i="27"/>
  <c r="H81" i="27"/>
  <c r="H78" i="27"/>
  <c r="H80" i="27"/>
  <c r="H82" i="27"/>
  <c r="D21" i="27" l="1"/>
  <c r="D20" i="27"/>
  <c r="D22" i="27" l="1"/>
  <c r="D54" i="19"/>
  <c r="D34" i="19"/>
  <c r="D78" i="19" s="1"/>
  <c r="C40" i="17"/>
  <c r="D26" i="17"/>
  <c r="E26" i="17"/>
  <c r="F26" i="17"/>
  <c r="D105" i="19" l="1"/>
  <c r="E40" i="17"/>
  <c r="G40" i="17" s="1"/>
  <c r="O105" i="19"/>
  <c r="O106" i="19" s="1"/>
  <c r="M105" i="19"/>
  <c r="E78" i="19"/>
  <c r="L105" i="19"/>
  <c r="C66" i="19"/>
  <c r="C67" i="19" s="1"/>
  <c r="C68" i="19" s="1"/>
  <c r="D48" i="19"/>
  <c r="D99" i="19" s="1"/>
  <c r="J97" i="19"/>
  <c r="J100" i="19" s="1"/>
  <c r="D48" i="17" l="1"/>
  <c r="D54" i="17"/>
  <c r="D56" i="17" s="1"/>
  <c r="D60" i="17" s="1"/>
  <c r="D55" i="17"/>
  <c r="D57" i="17" s="1"/>
  <c r="D61" i="17" s="1"/>
  <c r="D80" i="17"/>
  <c r="D82" i="17" s="1"/>
  <c r="D86" i="17" s="1"/>
  <c r="D98" i="19"/>
  <c r="P105" i="19"/>
  <c r="F99" i="19"/>
  <c r="Q99" i="19"/>
  <c r="W99" i="19"/>
  <c r="E99" i="19"/>
  <c r="I99" i="19"/>
  <c r="O99" i="19"/>
  <c r="N99" i="19"/>
  <c r="T99" i="19"/>
  <c r="M99" i="19"/>
  <c r="G99" i="19"/>
  <c r="X99" i="19"/>
  <c r="L99" i="19"/>
  <c r="K99" i="19"/>
  <c r="V99" i="19"/>
  <c r="R99" i="19"/>
  <c r="H99" i="19"/>
  <c r="S99" i="19"/>
  <c r="J99" i="19"/>
  <c r="U99" i="19"/>
  <c r="P99" i="19"/>
  <c r="D79" i="19"/>
  <c r="D80" i="19" s="1"/>
  <c r="D81" i="19" s="1"/>
  <c r="M98" i="19"/>
  <c r="O79" i="19"/>
  <c r="V79" i="19"/>
  <c r="I78" i="19"/>
  <c r="W79" i="19"/>
  <c r="L78" i="19"/>
  <c r="D97" i="19"/>
  <c r="D100" i="19" s="1"/>
  <c r="L79" i="19"/>
  <c r="W98" i="19"/>
  <c r="R78" i="19"/>
  <c r="F79" i="19"/>
  <c r="G98" i="19"/>
  <c r="G79" i="19"/>
  <c r="L98" i="19"/>
  <c r="M79" i="19"/>
  <c r="I97" i="19"/>
  <c r="I100" i="19" s="1"/>
  <c r="N98" i="19"/>
  <c r="Q78" i="19"/>
  <c r="N79" i="19"/>
  <c r="O98" i="19"/>
  <c r="T98" i="19"/>
  <c r="T79" i="19"/>
  <c r="E98" i="19"/>
  <c r="U98" i="19"/>
  <c r="E79" i="19"/>
  <c r="E80" i="19" s="1"/>
  <c r="E81" i="19" s="1"/>
  <c r="U79" i="19"/>
  <c r="F98" i="19"/>
  <c r="V98" i="19"/>
  <c r="C69" i="19"/>
  <c r="D56" i="19" s="1"/>
  <c r="S78" i="19"/>
  <c r="K97" i="19"/>
  <c r="K100" i="19" s="1"/>
  <c r="T78" i="19"/>
  <c r="L97" i="19"/>
  <c r="I105" i="19"/>
  <c r="H97" i="19"/>
  <c r="H100" i="19" s="1"/>
  <c r="X78" i="19"/>
  <c r="P78" i="19"/>
  <c r="H78" i="19"/>
  <c r="U78" i="19"/>
  <c r="O97" i="19"/>
  <c r="P97" i="19" s="1"/>
  <c r="Q97" i="19" s="1"/>
  <c r="R97" i="19" s="1"/>
  <c r="S97" i="19" s="1"/>
  <c r="T97" i="19" s="1"/>
  <c r="U97" i="19" s="1"/>
  <c r="G97" i="19"/>
  <c r="G100" i="19" s="1"/>
  <c r="W78" i="19"/>
  <c r="O78" i="19"/>
  <c r="G78" i="19"/>
  <c r="V78" i="19"/>
  <c r="N78" i="19"/>
  <c r="F78" i="19"/>
  <c r="M78" i="19"/>
  <c r="N97" i="19"/>
  <c r="F97" i="19"/>
  <c r="F100" i="19" s="1"/>
  <c r="M97" i="19"/>
  <c r="M100" i="19" s="1"/>
  <c r="E97" i="19"/>
  <c r="E100" i="19" s="1"/>
  <c r="J78" i="19"/>
  <c r="J105" i="19"/>
  <c r="H105" i="19"/>
  <c r="G105" i="19"/>
  <c r="N105" i="19"/>
  <c r="F105" i="19"/>
  <c r="E105" i="19"/>
  <c r="K78" i="19"/>
  <c r="K105" i="19"/>
  <c r="H79" i="19"/>
  <c r="H98" i="19"/>
  <c r="P98" i="19"/>
  <c r="X98" i="19"/>
  <c r="Q79" i="19"/>
  <c r="I98" i="19"/>
  <c r="Q98" i="19"/>
  <c r="P79" i="19"/>
  <c r="X79" i="19"/>
  <c r="J79" i="19"/>
  <c r="R79" i="19"/>
  <c r="J98" i="19"/>
  <c r="R98" i="19"/>
  <c r="I79" i="19"/>
  <c r="K79" i="19"/>
  <c r="S79" i="19"/>
  <c r="K98" i="19"/>
  <c r="S98" i="19"/>
  <c r="D101" i="19" l="1"/>
  <c r="D102" i="19" s="1"/>
  <c r="D84" i="19"/>
  <c r="D107" i="19"/>
  <c r="D108" i="19" s="1"/>
  <c r="J107" i="19"/>
  <c r="J108" i="19" s="1"/>
  <c r="J109" i="19" s="1"/>
  <c r="G107" i="19"/>
  <c r="G108" i="19" s="1"/>
  <c r="G109" i="19" s="1"/>
  <c r="H107" i="19"/>
  <c r="H108" i="19" s="1"/>
  <c r="H109" i="19" s="1"/>
  <c r="K107" i="19"/>
  <c r="K108" i="19" s="1"/>
  <c r="K109" i="19" s="1"/>
  <c r="I101" i="19"/>
  <c r="I102" i="19" s="1"/>
  <c r="E107" i="19"/>
  <c r="E108" i="19" s="1"/>
  <c r="E109" i="19" s="1"/>
  <c r="K101" i="19"/>
  <c r="K102" i="19" s="1"/>
  <c r="F107" i="19"/>
  <c r="F108" i="19" s="1"/>
  <c r="F109" i="19" s="1"/>
  <c r="I107" i="19"/>
  <c r="I108" i="19" s="1"/>
  <c r="I109" i="19" s="1"/>
  <c r="J101" i="19"/>
  <c r="J102" i="19" s="1"/>
  <c r="N107" i="19"/>
  <c r="N108" i="19" s="1"/>
  <c r="N109" i="19" s="1"/>
  <c r="O107" i="19"/>
  <c r="O108" i="19" s="1"/>
  <c r="O109" i="19" s="1"/>
  <c r="M101" i="19"/>
  <c r="M102" i="19" s="1"/>
  <c r="E101" i="19"/>
  <c r="E102" i="19" s="1"/>
  <c r="M107" i="19"/>
  <c r="M108" i="19" s="1"/>
  <c r="M109" i="19" s="1"/>
  <c r="L107" i="19"/>
  <c r="L108" i="19" s="1"/>
  <c r="L109" i="19" s="1"/>
  <c r="G101" i="19"/>
  <c r="G102" i="19" s="1"/>
  <c r="F101" i="19"/>
  <c r="F102" i="19" s="1"/>
  <c r="H101" i="19"/>
  <c r="H102" i="19" s="1"/>
  <c r="O80" i="19"/>
  <c r="O81" i="19" s="1"/>
  <c r="G80" i="19"/>
  <c r="G81" i="19" s="1"/>
  <c r="E84" i="19"/>
  <c r="E85" i="19" s="1"/>
  <c r="E86" i="19" s="1"/>
  <c r="L80" i="19"/>
  <c r="L81" i="19" s="1"/>
  <c r="Q80" i="19"/>
  <c r="Q81" i="19" s="1"/>
  <c r="M80" i="19"/>
  <c r="M81" i="19" s="1"/>
  <c r="I80" i="19"/>
  <c r="I81" i="19" s="1"/>
  <c r="L100" i="19"/>
  <c r="L101" i="19" s="1"/>
  <c r="L102" i="19" s="1"/>
  <c r="V80" i="19"/>
  <c r="V81" i="19" s="1"/>
  <c r="X80" i="19"/>
  <c r="P80" i="19"/>
  <c r="P81" i="19" s="1"/>
  <c r="R80" i="19"/>
  <c r="R81" i="19" s="1"/>
  <c r="U80" i="19"/>
  <c r="U81" i="19" s="1"/>
  <c r="S80" i="19"/>
  <c r="S81" i="19" s="1"/>
  <c r="W80" i="19"/>
  <c r="W81" i="19" s="1"/>
  <c r="C18" i="19"/>
  <c r="H80" i="19"/>
  <c r="H81" i="19" s="1"/>
  <c r="F80" i="19"/>
  <c r="F81" i="19" s="1"/>
  <c r="J80" i="19"/>
  <c r="J81" i="19" s="1"/>
  <c r="N80" i="19"/>
  <c r="N81" i="19" s="1"/>
  <c r="N100" i="19"/>
  <c r="N101" i="19" s="1"/>
  <c r="N102" i="19" s="1"/>
  <c r="T80" i="19"/>
  <c r="T81" i="19" s="1"/>
  <c r="V97" i="19"/>
  <c r="U100" i="19"/>
  <c r="U101" i="19" s="1"/>
  <c r="U102" i="19" s="1"/>
  <c r="P100" i="19"/>
  <c r="P101" i="19" s="1"/>
  <c r="P102" i="19" s="1"/>
  <c r="O100" i="19"/>
  <c r="O101" i="19" s="1"/>
  <c r="O102" i="19" s="1"/>
  <c r="Q100" i="19"/>
  <c r="Q101" i="19" s="1"/>
  <c r="Q102" i="19" s="1"/>
  <c r="S100" i="19"/>
  <c r="S101" i="19" s="1"/>
  <c r="S102" i="19" s="1"/>
  <c r="K80" i="19"/>
  <c r="K81" i="19" s="1"/>
  <c r="T100" i="19"/>
  <c r="T101" i="19" s="1"/>
  <c r="T102" i="19" s="1"/>
  <c r="R100" i="19"/>
  <c r="R101" i="19" s="1"/>
  <c r="R102" i="19" s="1"/>
  <c r="D109" i="19" l="1"/>
  <c r="C15" i="19" s="1"/>
  <c r="X81" i="19"/>
  <c r="D18" i="19" s="1"/>
  <c r="K84" i="19"/>
  <c r="K85" i="19" s="1"/>
  <c r="Q84" i="19"/>
  <c r="Q85" i="19" s="1"/>
  <c r="H84" i="19"/>
  <c r="H85" i="19" s="1"/>
  <c r="I84" i="19"/>
  <c r="I85" i="19" s="1"/>
  <c r="M84" i="19"/>
  <c r="M85" i="19" s="1"/>
  <c r="W84" i="19"/>
  <c r="W85" i="19" s="1"/>
  <c r="N84" i="19"/>
  <c r="N85" i="19" s="1"/>
  <c r="U84" i="19"/>
  <c r="U85" i="19" s="1"/>
  <c r="T84" i="19"/>
  <c r="T85" i="19" s="1"/>
  <c r="X84" i="19"/>
  <c r="X85" i="19" s="1"/>
  <c r="S84" i="19"/>
  <c r="S85" i="19" s="1"/>
  <c r="C19" i="19"/>
  <c r="P84" i="19"/>
  <c r="P85" i="19" s="1"/>
  <c r="R84" i="19"/>
  <c r="R85" i="19" s="1"/>
  <c r="G84" i="19"/>
  <c r="G85" i="19" s="1"/>
  <c r="F84" i="19"/>
  <c r="F85" i="19" s="1"/>
  <c r="O84" i="19"/>
  <c r="O85" i="19" s="1"/>
  <c r="V84" i="19"/>
  <c r="V85" i="19" s="1"/>
  <c r="L84" i="19"/>
  <c r="L85" i="19" s="1"/>
  <c r="J84" i="19"/>
  <c r="J85" i="19" s="1"/>
  <c r="Q105" i="19"/>
  <c r="P106" i="19"/>
  <c r="P107" i="19" s="1"/>
  <c r="P108" i="19" s="1"/>
  <c r="P109" i="19" s="1"/>
  <c r="W97" i="19"/>
  <c r="V100" i="19"/>
  <c r="V101" i="19" s="1"/>
  <c r="V102" i="19" s="1"/>
  <c r="I86" i="19" l="1"/>
  <c r="I88" i="19" s="1"/>
  <c r="J86" i="19"/>
  <c r="J88" i="19" s="1"/>
  <c r="Q86" i="19"/>
  <c r="Q88" i="19" s="1"/>
  <c r="V86" i="19"/>
  <c r="V88" i="19" s="1"/>
  <c r="K86" i="19"/>
  <c r="K88" i="19" s="1"/>
  <c r="H86" i="19"/>
  <c r="H88" i="19" s="1"/>
  <c r="T86" i="19"/>
  <c r="T88" i="19" s="1"/>
  <c r="F86" i="19"/>
  <c r="F88" i="19" s="1"/>
  <c r="U86" i="19"/>
  <c r="U88" i="19" s="1"/>
  <c r="X86" i="19"/>
  <c r="D14" i="19" s="1"/>
  <c r="O86" i="19"/>
  <c r="O88" i="19" s="1"/>
  <c r="G86" i="19"/>
  <c r="G88" i="19" s="1"/>
  <c r="N86" i="19"/>
  <c r="N88" i="19" s="1"/>
  <c r="S86" i="19"/>
  <c r="S88" i="19" s="1"/>
  <c r="R86" i="19"/>
  <c r="R88" i="19" s="1"/>
  <c r="W86" i="19"/>
  <c r="W88" i="19" s="1"/>
  <c r="L86" i="19"/>
  <c r="L88" i="19" s="1"/>
  <c r="P86" i="19"/>
  <c r="P88" i="19" s="1"/>
  <c r="M86" i="19"/>
  <c r="M88" i="19" s="1"/>
  <c r="D111" i="19"/>
  <c r="L111" i="19"/>
  <c r="F111" i="19"/>
  <c r="H111" i="19"/>
  <c r="K111" i="19"/>
  <c r="O111" i="19"/>
  <c r="D85" i="19"/>
  <c r="D86" i="19" s="1"/>
  <c r="D88" i="19" s="1"/>
  <c r="G111" i="19"/>
  <c r="N111" i="19"/>
  <c r="M111" i="19"/>
  <c r="E88" i="19"/>
  <c r="J111" i="19"/>
  <c r="C23" i="19"/>
  <c r="I111" i="19"/>
  <c r="R105" i="19"/>
  <c r="Q106" i="19"/>
  <c r="Q107" i="19" s="1"/>
  <c r="Q108" i="19" s="1"/>
  <c r="Q109" i="19" s="1"/>
  <c r="X97" i="19"/>
  <c r="W100" i="19"/>
  <c r="W101" i="19" s="1"/>
  <c r="W102" i="19" s="1"/>
  <c r="P111" i="19"/>
  <c r="D22" i="19" l="1"/>
  <c r="X88" i="19"/>
  <c r="C14" i="19"/>
  <c r="C22" i="19" s="1"/>
  <c r="E111" i="19"/>
  <c r="X100" i="19"/>
  <c r="X101" i="19" s="1"/>
  <c r="X102" i="19" s="1"/>
  <c r="R106" i="19"/>
  <c r="R107" i="19" s="1"/>
  <c r="R108" i="19" s="1"/>
  <c r="R109" i="19" s="1"/>
  <c r="S105" i="19"/>
  <c r="Q111" i="19"/>
  <c r="D19" i="19" l="1"/>
  <c r="E19" i="19" s="1"/>
  <c r="R111" i="19"/>
  <c r="T105" i="19"/>
  <c r="S106" i="19"/>
  <c r="S107" i="19" s="1"/>
  <c r="S108" i="19" s="1"/>
  <c r="S109" i="19" s="1"/>
  <c r="S111" i="19" l="1"/>
  <c r="F19" i="19"/>
  <c r="U105" i="19"/>
  <c r="T106" i="19"/>
  <c r="T107" i="19" s="1"/>
  <c r="T108" i="19" s="1"/>
  <c r="T109" i="19" s="1"/>
  <c r="T111" i="19" l="1"/>
  <c r="V105" i="19"/>
  <c r="U106" i="19"/>
  <c r="U107" i="19" s="1"/>
  <c r="U108" i="19" s="1"/>
  <c r="U109" i="19" s="1"/>
  <c r="U111" i="19" l="1"/>
  <c r="W105" i="19"/>
  <c r="V106" i="19"/>
  <c r="V107" i="19" s="1"/>
  <c r="V108" i="19" s="1"/>
  <c r="V109" i="19" s="1"/>
  <c r="V111" i="19" l="1"/>
  <c r="X105" i="19"/>
  <c r="W106" i="19"/>
  <c r="W107" i="19" s="1"/>
  <c r="W108" i="19" s="1"/>
  <c r="W109" i="19" s="1"/>
  <c r="W111" i="19" l="1"/>
  <c r="X106" i="19"/>
  <c r="X107" i="19" s="1"/>
  <c r="X108" i="19" s="1"/>
  <c r="X109" i="19" s="1"/>
  <c r="X111" i="19" l="1"/>
  <c r="D15" i="19" l="1"/>
  <c r="F15" i="19" s="1"/>
  <c r="E15" i="19" l="1"/>
  <c r="D23" i="19"/>
  <c r="E23" i="19" s="1"/>
  <c r="F23" i="19" l="1"/>
  <c r="D102" i="17" l="1"/>
  <c r="D104" i="17" s="1"/>
  <c r="D108" i="17" s="1"/>
  <c r="D103" i="17"/>
  <c r="D105" i="17" s="1"/>
  <c r="D109" i="17" s="1"/>
  <c r="D95" i="17"/>
  <c r="G126" i="17"/>
  <c r="G128" i="17" s="1"/>
  <c r="G132" i="17" s="1"/>
  <c r="J125" i="17"/>
  <c r="J127" i="17" s="1"/>
  <c r="J131" i="17" s="1"/>
  <c r="J103" i="17"/>
  <c r="M102" i="17"/>
  <c r="M104" i="17" s="1"/>
  <c r="M108" i="17" s="1"/>
  <c r="E102" i="17"/>
  <c r="E104" i="17" s="1"/>
  <c r="E108" i="17" s="1"/>
  <c r="M80" i="17"/>
  <c r="E80" i="17"/>
  <c r="H79" i="17"/>
  <c r="H81" i="17" s="1"/>
  <c r="H85" i="17" s="1"/>
  <c r="H55" i="17"/>
  <c r="L48" i="17"/>
  <c r="I80" i="17"/>
  <c r="L79" i="17"/>
  <c r="L81" i="17" s="1"/>
  <c r="L85" i="17" s="1"/>
  <c r="L55" i="17"/>
  <c r="N126" i="17"/>
  <c r="N128" i="17" s="1"/>
  <c r="N132" i="17" s="1"/>
  <c r="F126" i="17"/>
  <c r="F128" i="17" s="1"/>
  <c r="F132" i="17" s="1"/>
  <c r="I125" i="17"/>
  <c r="I127" i="17" s="1"/>
  <c r="I131" i="17" s="1"/>
  <c r="I103" i="17"/>
  <c r="L102" i="17"/>
  <c r="L104" i="17" s="1"/>
  <c r="L108" i="17" s="1"/>
  <c r="L80" i="17"/>
  <c r="G79" i="17"/>
  <c r="G81" i="17" s="1"/>
  <c r="G85" i="17" s="1"/>
  <c r="G55" i="17"/>
  <c r="K48" i="17"/>
  <c r="N125" i="17"/>
  <c r="N127" i="17" s="1"/>
  <c r="N131" i="17" s="1"/>
  <c r="F125" i="17"/>
  <c r="F127" i="17" s="1"/>
  <c r="F131" i="17" s="1"/>
  <c r="N103" i="17"/>
  <c r="F103" i="17"/>
  <c r="D79" i="17"/>
  <c r="M126" i="17"/>
  <c r="M128" i="17" s="1"/>
  <c r="M132" i="17" s="1"/>
  <c r="E126" i="17"/>
  <c r="H125" i="17"/>
  <c r="H127" i="17" s="1"/>
  <c r="H131" i="17" s="1"/>
  <c r="H103" i="17"/>
  <c r="K102" i="17"/>
  <c r="K104" i="17" s="1"/>
  <c r="K108" i="17" s="1"/>
  <c r="K80" i="17"/>
  <c r="N79" i="17"/>
  <c r="N81" i="17" s="1"/>
  <c r="N85" i="17" s="1"/>
  <c r="F79" i="17"/>
  <c r="F81" i="17" s="1"/>
  <c r="F85" i="17" s="1"/>
  <c r="N55" i="17"/>
  <c r="F55" i="17"/>
  <c r="J48" i="17"/>
  <c r="I102" i="17"/>
  <c r="I104" i="17" s="1"/>
  <c r="I108" i="17" s="1"/>
  <c r="L126" i="17"/>
  <c r="L128" i="17" s="1"/>
  <c r="L132" i="17" s="1"/>
  <c r="D126" i="17"/>
  <c r="D128" i="17" s="1"/>
  <c r="D132" i="17" s="1"/>
  <c r="G125" i="17"/>
  <c r="G127" i="17" s="1"/>
  <c r="G131" i="17" s="1"/>
  <c r="G103" i="17"/>
  <c r="J102" i="17"/>
  <c r="J104" i="17" s="1"/>
  <c r="J108" i="17" s="1"/>
  <c r="J80" i="17"/>
  <c r="M79" i="17"/>
  <c r="M81" i="17" s="1"/>
  <c r="M85" i="17" s="1"/>
  <c r="E79" i="17"/>
  <c r="E81" i="17" s="1"/>
  <c r="E85" i="17" s="1"/>
  <c r="M55" i="17"/>
  <c r="E55" i="17"/>
  <c r="I48" i="17"/>
  <c r="K126" i="17"/>
  <c r="K128" i="17" s="1"/>
  <c r="K132" i="17" s="1"/>
  <c r="H48" i="17"/>
  <c r="I126" i="17"/>
  <c r="I128" i="17" s="1"/>
  <c r="I132" i="17" s="1"/>
  <c r="L125" i="17"/>
  <c r="L127" i="17" s="1"/>
  <c r="L131" i="17" s="1"/>
  <c r="D125" i="17"/>
  <c r="D127" i="17" s="1"/>
  <c r="D131" i="17" s="1"/>
  <c r="L103" i="17"/>
  <c r="G102" i="17"/>
  <c r="G104" i="17" s="1"/>
  <c r="G108" i="17" s="1"/>
  <c r="G80" i="17"/>
  <c r="J79" i="17"/>
  <c r="J81" i="17" s="1"/>
  <c r="J85" i="17" s="1"/>
  <c r="J55" i="17"/>
  <c r="N48" i="17"/>
  <c r="F48" i="17"/>
  <c r="H126" i="17"/>
  <c r="H128" i="17" s="1"/>
  <c r="H132" i="17" s="1"/>
  <c r="K125" i="17"/>
  <c r="K127" i="17" s="1"/>
  <c r="K131" i="17" s="1"/>
  <c r="D118" i="17"/>
  <c r="K103" i="17"/>
  <c r="N102" i="17"/>
  <c r="N104" i="17" s="1"/>
  <c r="N108" i="17" s="1"/>
  <c r="F102" i="17"/>
  <c r="F104" i="17" s="1"/>
  <c r="F108" i="17" s="1"/>
  <c r="H102" i="17"/>
  <c r="H104" i="17" s="1"/>
  <c r="H108" i="17" s="1"/>
  <c r="I79" i="17"/>
  <c r="I81" i="17" s="1"/>
  <c r="I85" i="17" s="1"/>
  <c r="M48" i="17"/>
  <c r="K55" i="17"/>
  <c r="D72" i="17"/>
  <c r="G48" i="17"/>
  <c r="N80" i="17"/>
  <c r="J126" i="17"/>
  <c r="J128" i="17" s="1"/>
  <c r="J132" i="17" s="1"/>
  <c r="E48" i="17"/>
  <c r="M125" i="17"/>
  <c r="M127" i="17" s="1"/>
  <c r="M131" i="17" s="1"/>
  <c r="M103" i="17"/>
  <c r="F80" i="17"/>
  <c r="I55" i="17"/>
  <c r="H80" i="17"/>
  <c r="E103" i="17"/>
  <c r="K79" i="17"/>
  <c r="K81" i="17" s="1"/>
  <c r="K85" i="17" s="1"/>
  <c r="E125" i="17"/>
  <c r="E127" i="17" s="1"/>
  <c r="E131" i="17" s="1"/>
  <c r="N74" i="17" l="1"/>
  <c r="M74" i="17"/>
  <c r="L74" i="17"/>
  <c r="L72" i="17" s="1"/>
  <c r="L76" i="17" s="1"/>
  <c r="L77" i="17" s="1"/>
  <c r="L84" i="17" s="1"/>
  <c r="K74" i="17"/>
  <c r="K72" i="17" s="1"/>
  <c r="K76" i="17" s="1"/>
  <c r="K77" i="17" s="1"/>
  <c r="K84" i="17" s="1"/>
  <c r="J74" i="17"/>
  <c r="J72" i="17" s="1"/>
  <c r="I74" i="17"/>
  <c r="I72" i="17" s="1"/>
  <c r="I76" i="17" s="1"/>
  <c r="I77" i="17" s="1"/>
  <c r="I84" i="17" s="1"/>
  <c r="H74" i="17"/>
  <c r="H72" i="17" s="1"/>
  <c r="H76" i="17" s="1"/>
  <c r="H77" i="17" s="1"/>
  <c r="H84" i="17" s="1"/>
  <c r="G74" i="17"/>
  <c r="G72" i="17" s="1"/>
  <c r="G76" i="17" s="1"/>
  <c r="G77" i="17" s="1"/>
  <c r="G84" i="17" s="1"/>
  <c r="N120" i="17"/>
  <c r="N118" i="17" s="1"/>
  <c r="N122" i="17" s="1"/>
  <c r="M120" i="17"/>
  <c r="M118" i="17" s="1"/>
  <c r="M122" i="17" s="1"/>
  <c r="L120" i="17"/>
  <c r="L118" i="17" s="1"/>
  <c r="L122" i="17" s="1"/>
  <c r="K120" i="17"/>
  <c r="K118" i="17" s="1"/>
  <c r="K122" i="17" s="1"/>
  <c r="J120" i="17"/>
  <c r="J118" i="17" s="1"/>
  <c r="J122" i="17" s="1"/>
  <c r="I120" i="17"/>
  <c r="I118" i="17" s="1"/>
  <c r="I122" i="17" s="1"/>
  <c r="H120" i="17"/>
  <c r="H118" i="17" s="1"/>
  <c r="H122" i="17" s="1"/>
  <c r="G120" i="17"/>
  <c r="G118" i="17" s="1"/>
  <c r="G122" i="17" s="1"/>
  <c r="N97" i="17"/>
  <c r="N95" i="17" s="1"/>
  <c r="N99" i="17" s="1"/>
  <c r="M97" i="17"/>
  <c r="M95" i="17" s="1"/>
  <c r="M99" i="17" s="1"/>
  <c r="L97" i="17"/>
  <c r="L95" i="17" s="1"/>
  <c r="L99" i="17" s="1"/>
  <c r="K97" i="17"/>
  <c r="K95" i="17" s="1"/>
  <c r="K99" i="17" s="1"/>
  <c r="J97" i="17"/>
  <c r="J95" i="17" s="1"/>
  <c r="J99" i="17" s="1"/>
  <c r="I97" i="17"/>
  <c r="I95" i="17" s="1"/>
  <c r="I99" i="17" s="1"/>
  <c r="H97" i="17"/>
  <c r="H95" i="17" s="1"/>
  <c r="H99" i="17" s="1"/>
  <c r="G97" i="17"/>
  <c r="G95" i="17" s="1"/>
  <c r="G99" i="17" s="1"/>
  <c r="E128" i="17"/>
  <c r="E132" i="17" s="1"/>
  <c r="N57" i="17"/>
  <c r="N61" i="17" s="1"/>
  <c r="E57" i="17"/>
  <c r="E61" i="17" s="1"/>
  <c r="J57" i="17"/>
  <c r="J61" i="17" s="1"/>
  <c r="H57" i="17"/>
  <c r="H61" i="17" s="1"/>
  <c r="I57" i="17"/>
  <c r="I61" i="17" s="1"/>
  <c r="K57" i="17"/>
  <c r="K61" i="17" s="1"/>
  <c r="M57" i="17"/>
  <c r="M61" i="17" s="1"/>
  <c r="F57" i="17"/>
  <c r="F61" i="17" s="1"/>
  <c r="G57" i="17"/>
  <c r="G61" i="17" s="1"/>
  <c r="L57" i="17"/>
  <c r="L61" i="17" s="1"/>
  <c r="D81" i="17"/>
  <c r="D85" i="17" s="1"/>
  <c r="N82" i="17"/>
  <c r="N86" i="17" s="1"/>
  <c r="L82" i="17"/>
  <c r="L86" i="17" s="1"/>
  <c r="I82" i="17"/>
  <c r="I86" i="17" s="1"/>
  <c r="F82" i="17"/>
  <c r="F86" i="17" s="1"/>
  <c r="K82" i="17"/>
  <c r="K86" i="17" s="1"/>
  <c r="G82" i="17"/>
  <c r="G86" i="17" s="1"/>
  <c r="E82" i="17"/>
  <c r="E86" i="17" s="1"/>
  <c r="H82" i="17"/>
  <c r="H86" i="17" s="1"/>
  <c r="J82" i="17"/>
  <c r="J86" i="17" s="1"/>
  <c r="M82" i="17"/>
  <c r="M86" i="17" s="1"/>
  <c r="G105" i="17"/>
  <c r="G109" i="17" s="1"/>
  <c r="K105" i="17"/>
  <c r="K109" i="17" s="1"/>
  <c r="F105" i="17"/>
  <c r="F109" i="17" s="1"/>
  <c r="I105" i="17"/>
  <c r="I109" i="17" s="1"/>
  <c r="L105" i="17"/>
  <c r="L109" i="17" s="1"/>
  <c r="E105" i="17"/>
  <c r="E109" i="17" s="1"/>
  <c r="J105" i="17"/>
  <c r="J109" i="17" s="1"/>
  <c r="N105" i="17"/>
  <c r="N109" i="17" s="1"/>
  <c r="M105" i="17"/>
  <c r="M109" i="17" s="1"/>
  <c r="H105" i="17"/>
  <c r="H109" i="17" s="1"/>
  <c r="D49" i="17"/>
  <c r="D51" i="17" s="1"/>
  <c r="D52" i="17" s="1"/>
  <c r="D59" i="17" s="1"/>
  <c r="D62" i="17" s="1"/>
  <c r="D97" i="17"/>
  <c r="D99" i="17" s="1"/>
  <c r="F74" i="17"/>
  <c r="F72" i="17" s="1"/>
  <c r="F76" i="17" s="1"/>
  <c r="F77" i="17" s="1"/>
  <c r="F84" i="17" s="1"/>
  <c r="E74" i="17"/>
  <c r="E72" i="17" s="1"/>
  <c r="E76" i="17" s="1"/>
  <c r="E77" i="17" s="1"/>
  <c r="E84" i="17" s="1"/>
  <c r="D74" i="17"/>
  <c r="I54" i="17"/>
  <c r="I56" i="17" s="1"/>
  <c r="I60" i="17" s="1"/>
  <c r="F120" i="17"/>
  <c r="F118" i="17" s="1"/>
  <c r="F122" i="17" s="1"/>
  <c r="D120" i="17"/>
  <c r="D122" i="17" s="1"/>
  <c r="E120" i="17"/>
  <c r="E118" i="17" s="1"/>
  <c r="E122" i="17" s="1"/>
  <c r="M54" i="17"/>
  <c r="M56" i="17" s="1"/>
  <c r="M60" i="17" s="1"/>
  <c r="E97" i="17"/>
  <c r="E95" i="17" s="1"/>
  <c r="E99" i="17" s="1"/>
  <c r="F97" i="17"/>
  <c r="F95" i="17" s="1"/>
  <c r="F99" i="17" s="1"/>
  <c r="E54" i="17"/>
  <c r="E56" i="17" s="1"/>
  <c r="E60" i="17" s="1"/>
  <c r="F54" i="17"/>
  <c r="F56" i="17" s="1"/>
  <c r="F60" i="17" s="1"/>
  <c r="N54" i="17"/>
  <c r="N56" i="17" s="1"/>
  <c r="N60" i="17" s="1"/>
  <c r="J54" i="17"/>
  <c r="J56" i="17" s="1"/>
  <c r="J60" i="17" s="1"/>
  <c r="K54" i="17"/>
  <c r="K56" i="17" s="1"/>
  <c r="K60" i="17" s="1"/>
  <c r="I49" i="17"/>
  <c r="I51" i="17" s="1"/>
  <c r="I52" i="17" s="1"/>
  <c r="I59" i="17" s="1"/>
  <c r="H49" i="17"/>
  <c r="M49" i="17"/>
  <c r="M51" i="17" s="1"/>
  <c r="G49" i="17"/>
  <c r="G51" i="17" s="1"/>
  <c r="G52" i="17" s="1"/>
  <c r="G59" i="17" s="1"/>
  <c r="E49" i="17"/>
  <c r="E51" i="17" s="1"/>
  <c r="N49" i="17"/>
  <c r="N51" i="17" s="1"/>
  <c r="F49" i="17"/>
  <c r="F51" i="17" s="1"/>
  <c r="K49" i="17"/>
  <c r="K51" i="17" s="1"/>
  <c r="J49" i="17"/>
  <c r="J51" i="17" s="1"/>
  <c r="J52" i="17" s="1"/>
  <c r="J59" i="17" s="1"/>
  <c r="L49" i="17"/>
  <c r="L51" i="17" s="1"/>
  <c r="L52" i="17" s="1"/>
  <c r="L59" i="17" s="1"/>
  <c r="H54" i="17"/>
  <c r="H56" i="17" s="1"/>
  <c r="H60" i="17" s="1"/>
  <c r="L54" i="17"/>
  <c r="L56" i="17" s="1"/>
  <c r="L60" i="17" s="1"/>
  <c r="G54" i="17"/>
  <c r="G56" i="17" s="1"/>
  <c r="G60" i="17" s="1"/>
  <c r="D76" i="17" l="1"/>
  <c r="D77" i="17" s="1"/>
  <c r="D84" i="17" s="1"/>
  <c r="J76" i="17"/>
  <c r="J77" i="17" s="1"/>
  <c r="J84" i="17" s="1"/>
  <c r="M72" i="17"/>
  <c r="M76" i="17" s="1"/>
  <c r="M77" i="17" s="1"/>
  <c r="M84" i="17" s="1"/>
  <c r="N72" i="17"/>
  <c r="N76" i="17" s="1"/>
  <c r="N77" i="17" s="1"/>
  <c r="N84" i="17" s="1"/>
  <c r="E87" i="17"/>
  <c r="G87" i="17"/>
  <c r="K87" i="17"/>
  <c r="I87" i="17"/>
  <c r="I89" i="17" s="1"/>
  <c r="H87" i="17"/>
  <c r="F87" i="17"/>
  <c r="L87" i="17"/>
  <c r="F123" i="17"/>
  <c r="F130" i="17" s="1"/>
  <c r="N123" i="17"/>
  <c r="N130" i="17" s="1"/>
  <c r="D123" i="17"/>
  <c r="K123" i="17"/>
  <c r="K130" i="17" s="1"/>
  <c r="L123" i="17"/>
  <c r="L130" i="17" s="1"/>
  <c r="I123" i="17"/>
  <c r="I130" i="17" s="1"/>
  <c r="G123" i="17"/>
  <c r="G130" i="17" s="1"/>
  <c r="J123" i="17"/>
  <c r="J130" i="17" s="1"/>
  <c r="H123" i="17"/>
  <c r="H130" i="17" s="1"/>
  <c r="E123" i="17"/>
  <c r="E130" i="17" s="1"/>
  <c r="M123" i="17"/>
  <c r="M130" i="17" s="1"/>
  <c r="G100" i="17"/>
  <c r="G107" i="17" s="1"/>
  <c r="H100" i="17"/>
  <c r="H107" i="17" s="1"/>
  <c r="N100" i="17"/>
  <c r="N107" i="17" s="1"/>
  <c r="K100" i="17"/>
  <c r="K107" i="17" s="1"/>
  <c r="I100" i="17"/>
  <c r="I107" i="17" s="1"/>
  <c r="F100" i="17"/>
  <c r="F107" i="17" s="1"/>
  <c r="L100" i="17"/>
  <c r="L107" i="17" s="1"/>
  <c r="D100" i="17"/>
  <c r="D107" i="17" s="1"/>
  <c r="J100" i="17"/>
  <c r="J107" i="17" s="1"/>
  <c r="E100" i="17"/>
  <c r="E107" i="17" s="1"/>
  <c r="M100" i="17"/>
  <c r="M107" i="17" s="1"/>
  <c r="G62" i="17"/>
  <c r="H51" i="17"/>
  <c r="H52" i="17" s="1"/>
  <c r="H59" i="17" s="1"/>
  <c r="K52" i="17"/>
  <c r="K59" i="17" s="1"/>
  <c r="F52" i="17"/>
  <c r="F59" i="17" s="1"/>
  <c r="E52" i="17"/>
  <c r="E59" i="17" s="1"/>
  <c r="N52" i="17"/>
  <c r="N59" i="17" s="1"/>
  <c r="M52" i="17"/>
  <c r="M59" i="17" s="1"/>
  <c r="D130" i="17" l="1"/>
  <c r="D133" i="17" s="1"/>
  <c r="D135" i="17" s="1"/>
  <c r="K133" i="17"/>
  <c r="K135" i="17" s="1"/>
  <c r="M133" i="17"/>
  <c r="M135" i="17" s="1"/>
  <c r="N133" i="17"/>
  <c r="N135" i="17" s="1"/>
  <c r="H133" i="17"/>
  <c r="H135" i="17" s="1"/>
  <c r="F133" i="17"/>
  <c r="F135" i="17" s="1"/>
  <c r="J133" i="17"/>
  <c r="J135" i="17" s="1"/>
  <c r="E133" i="17"/>
  <c r="E135" i="17" s="1"/>
  <c r="G133" i="17"/>
  <c r="G135" i="17" s="1"/>
  <c r="K110" i="17"/>
  <c r="K112" i="17" s="1"/>
  <c r="E110" i="17"/>
  <c r="E112" i="17" s="1"/>
  <c r="J110" i="17"/>
  <c r="J112" i="17" s="1"/>
  <c r="M110" i="17"/>
  <c r="M112" i="17" s="1"/>
  <c r="N110" i="17"/>
  <c r="D18" i="17" s="1"/>
  <c r="F110" i="17"/>
  <c r="F112" i="17" s="1"/>
  <c r="N87" i="17"/>
  <c r="M87" i="17"/>
  <c r="M89" i="17" s="1"/>
  <c r="J87" i="17"/>
  <c r="J89" i="17" s="1"/>
  <c r="D87" i="17"/>
  <c r="D89" i="17" s="1"/>
  <c r="J62" i="17"/>
  <c r="J64" i="17" s="1"/>
  <c r="I62" i="17"/>
  <c r="I64" i="17" s="1"/>
  <c r="L62" i="17"/>
  <c r="L64" i="17" s="1"/>
  <c r="F89" i="17"/>
  <c r="E89" i="17"/>
  <c r="H89" i="17"/>
  <c r="G89" i="17"/>
  <c r="K89" i="17"/>
  <c r="L89" i="17"/>
  <c r="H110" i="17"/>
  <c r="H112" i="17" s="1"/>
  <c r="I110" i="17"/>
  <c r="I112" i="17" s="1"/>
  <c r="G110" i="17"/>
  <c r="G112" i="17" s="1"/>
  <c r="L110" i="17"/>
  <c r="L112" i="17" s="1"/>
  <c r="L133" i="17"/>
  <c r="I133" i="17"/>
  <c r="G64" i="17"/>
  <c r="D110" i="17" l="1"/>
  <c r="D112" i="17" s="1"/>
  <c r="D17" i="17"/>
  <c r="N89" i="17"/>
  <c r="K62" i="17"/>
  <c r="K64" i="17" s="1"/>
  <c r="H62" i="17"/>
  <c r="H64" i="17" s="1"/>
  <c r="F62" i="17"/>
  <c r="F64" i="17" s="1"/>
  <c r="E62" i="17"/>
  <c r="E64" i="17" s="1"/>
  <c r="M62" i="17"/>
  <c r="M64" i="17" s="1"/>
  <c r="N62" i="17"/>
  <c r="D19" i="17"/>
  <c r="C17" i="17"/>
  <c r="I135" i="17"/>
  <c r="L135" i="17"/>
  <c r="C19" i="17"/>
  <c r="N112" i="17"/>
  <c r="D64" i="17"/>
  <c r="C16" i="17" s="1"/>
  <c r="N64" i="17" l="1"/>
  <c r="D16" i="17" s="1"/>
  <c r="F17" i="17" s="1"/>
  <c r="E17" i="17"/>
  <c r="C18" i="17"/>
  <c r="E18" i="17" s="1"/>
  <c r="E19" i="17"/>
  <c r="F18" i="17" l="1"/>
  <c r="F19" i="17"/>
</calcChain>
</file>

<file path=xl/sharedStrings.xml><?xml version="1.0" encoding="utf-8"?>
<sst xmlns="http://schemas.openxmlformats.org/spreadsheetml/2006/main" count="2293" uniqueCount="867">
  <si>
    <t>Agriculture Policy Assessment Guide
Calculations, Parameters, Data Sources</t>
  </si>
  <si>
    <t>Part III: Assess Policy</t>
  </si>
  <si>
    <t>Parameters and Data Sources</t>
  </si>
  <si>
    <t xml:space="preserve"> -</t>
  </si>
  <si>
    <t>Hypothetical Country National Circumstances</t>
  </si>
  <si>
    <t>Chapter 5 Calculations</t>
  </si>
  <si>
    <t>Manure Data</t>
  </si>
  <si>
    <t>Enteric Fermentation</t>
  </si>
  <si>
    <t>Chapter 6 Calculations</t>
  </si>
  <si>
    <t>Nutrient Data</t>
  </si>
  <si>
    <t>Chapter 7 Calculations</t>
  </si>
  <si>
    <t>Soil Data</t>
  </si>
  <si>
    <t>Chapter 8 Calculations</t>
  </si>
  <si>
    <t>Rice Cultivation Data</t>
  </si>
  <si>
    <t>Farm Information</t>
  </si>
  <si>
    <t>Characteristics</t>
  </si>
  <si>
    <t>Farm size</t>
  </si>
  <si>
    <t>Medium</t>
  </si>
  <si>
    <t>Large farm 
(&gt; 40 cattle)</t>
  </si>
  <si>
    <t>Total</t>
  </si>
  <si>
    <t>Average annual rural income</t>
  </si>
  <si>
    <t>Percentage farm type</t>
  </si>
  <si>
    <t>Number of farmers</t>
  </si>
  <si>
    <t>Average cows per farm</t>
  </si>
  <si>
    <t xml:space="preserve"> - </t>
  </si>
  <si>
    <t>Average milk production (kg/yr/head)</t>
  </si>
  <si>
    <t>Cattle sub-category</t>
  </si>
  <si>
    <t xml:space="preserve">Distribution by sub-category, % </t>
  </si>
  <si>
    <t>Total population</t>
  </si>
  <si>
    <t>Dairy: Calves &lt; 1 year old</t>
  </si>
  <si>
    <t>Dairy: Cattle 1-2 years</t>
  </si>
  <si>
    <t>Dairy: Mature cows &gt; 2 years</t>
  </si>
  <si>
    <t>Other Cattle</t>
  </si>
  <si>
    <t>Climate zones</t>
  </si>
  <si>
    <t>Type of climate</t>
  </si>
  <si>
    <t>National managed land, %</t>
  </si>
  <si>
    <t>National dairy herd, %</t>
  </si>
  <si>
    <t>Cattle population, %</t>
  </si>
  <si>
    <t>Tropical dry (TRD)</t>
  </si>
  <si>
    <t>Tropical montane (TRM)</t>
  </si>
  <si>
    <t>Tropical moist (TM)</t>
  </si>
  <si>
    <t>National</t>
  </si>
  <si>
    <t>Manure Management</t>
  </si>
  <si>
    <t>Average length of storage</t>
  </si>
  <si>
    <t>60 days</t>
  </si>
  <si>
    <t>Intended length of storage with policy</t>
  </si>
  <si>
    <t>15 days</t>
  </si>
  <si>
    <t>Proportion of manure managed (and stored) as solids</t>
  </si>
  <si>
    <t>Proportion of manure managed (and stored) as solids used for fertilizer</t>
  </si>
  <si>
    <t>Proportion of manure managed (and stored) as solids used for fuel</t>
  </si>
  <si>
    <t>Proportion of manure left on pasture</t>
  </si>
  <si>
    <t>Land use category</t>
  </si>
  <si>
    <t>Total Area (ha)</t>
  </si>
  <si>
    <t>Cropland remaining cropland</t>
  </si>
  <si>
    <t>Grassland converted to cropland</t>
  </si>
  <si>
    <t>Grassland remaining grassland</t>
  </si>
  <si>
    <t>Cropland converted to grassland</t>
  </si>
  <si>
    <t>Forest land remaining forest land</t>
  </si>
  <si>
    <t>Forest land converted to cropland</t>
  </si>
  <si>
    <t>Wetlands remaining wetlands</t>
  </si>
  <si>
    <t>Settlements remaining settlements</t>
  </si>
  <si>
    <t>East Province Land Stratification</t>
  </si>
  <si>
    <t>West Province Land Stratification</t>
  </si>
  <si>
    <t>Climate</t>
  </si>
  <si>
    <t>Soil type</t>
  </si>
  <si>
    <t>Cropland and grassland subcategories</t>
  </si>
  <si>
    <t>TRD</t>
  </si>
  <si>
    <t>HAC</t>
  </si>
  <si>
    <t>Annual crops</t>
  </si>
  <si>
    <t>TM</t>
  </si>
  <si>
    <t>LAC</t>
  </si>
  <si>
    <t>Wetland rice</t>
  </si>
  <si>
    <t>Perennial crops</t>
  </si>
  <si>
    <t>Sugarcane</t>
  </si>
  <si>
    <t>Set aside</t>
  </si>
  <si>
    <t>VOL</t>
  </si>
  <si>
    <t>Rangeland</t>
  </si>
  <si>
    <t>Managed pasture</t>
  </si>
  <si>
    <t>WET</t>
  </si>
  <si>
    <t>Wellands</t>
  </si>
  <si>
    <t>Wetlands</t>
  </si>
  <si>
    <t>Paved/Infrastructure</t>
  </si>
  <si>
    <t>Paved/infrastructure</t>
  </si>
  <si>
    <t>TRM</t>
  </si>
  <si>
    <t>Evergreen forest</t>
  </si>
  <si>
    <t>Mixed forest</t>
  </si>
  <si>
    <t>Lowland foret</t>
  </si>
  <si>
    <t>East province;
Annual cropland management</t>
  </si>
  <si>
    <t>Ecozone</t>
  </si>
  <si>
    <t>Soils</t>
  </si>
  <si>
    <t>Crop rotation</t>
  </si>
  <si>
    <t>Area (ha)</t>
  </si>
  <si>
    <t>Full till area (ha)</t>
  </si>
  <si>
    <t>Reduced till area (ha)</t>
  </si>
  <si>
    <t>No till area (ha)</t>
  </si>
  <si>
    <t>Stratum</t>
  </si>
  <si>
    <t>Input system type</t>
  </si>
  <si>
    <t>SBSh</t>
  </si>
  <si>
    <t>corn-soy-alfalfa-alfalfa</t>
  </si>
  <si>
    <t>ST1</t>
  </si>
  <si>
    <t>Full till: low-input system
Reduced-till: high-input system
No-till: high-input system</t>
  </si>
  <si>
    <t>wheat</t>
  </si>
  <si>
    <t>ST2</t>
  </si>
  <si>
    <t>cassava-beans</t>
  </si>
  <si>
    <t>ST3</t>
  </si>
  <si>
    <t>vegetables</t>
  </si>
  <si>
    <t>ST4</t>
  </si>
  <si>
    <t>ST5</t>
  </si>
  <si>
    <t>ST6</t>
  </si>
  <si>
    <t xml:space="preserve">Fertilizer </t>
  </si>
  <si>
    <t>Nutrients application time</t>
  </si>
  <si>
    <t>N input amount 
(kg N/ha/yr)</t>
  </si>
  <si>
    <t>Synthetic N: Urea</t>
  </si>
  <si>
    <t>DAP (N)</t>
  </si>
  <si>
    <t>At transplanting time</t>
  </si>
  <si>
    <t>Total Annual Synthetic N</t>
  </si>
  <si>
    <r>
      <t>LIVESTOCK POLICY CH</t>
    </r>
    <r>
      <rPr>
        <b/>
        <vertAlign val="subscript"/>
        <sz val="16"/>
        <color theme="1"/>
        <rFont val="Arial"/>
        <family val="2"/>
      </rPr>
      <t>4</t>
    </r>
    <r>
      <rPr>
        <b/>
        <sz val="16"/>
        <color theme="1"/>
        <rFont val="Arial"/>
        <family val="2"/>
      </rPr>
      <t xml:space="preserve"> EMISSION MITIGATION</t>
    </r>
  </si>
  <si>
    <t>Scenario</t>
  </si>
  <si>
    <t>% Mitigated</t>
  </si>
  <si>
    <r>
      <t>Gg CO</t>
    </r>
    <r>
      <rPr>
        <vertAlign val="subscript"/>
        <sz val="12"/>
        <color theme="1"/>
        <rFont val="Arial"/>
        <family val="2"/>
      </rPr>
      <t>2</t>
    </r>
    <r>
      <rPr>
        <sz val="12"/>
        <color theme="1"/>
        <rFont val="Arial"/>
        <family val="2"/>
      </rPr>
      <t>e mitigated</t>
    </r>
  </si>
  <si>
    <t>t</t>
  </si>
  <si>
    <t>t+10</t>
  </si>
  <si>
    <t>mitigated</t>
  </si>
  <si>
    <t>WOM</t>
  </si>
  <si>
    <t>WAM-HIGH</t>
  </si>
  <si>
    <t>WAM-LOW</t>
  </si>
  <si>
    <t>Unit</t>
  </si>
  <si>
    <t>Value</t>
  </si>
  <si>
    <t>Typical animal mass (TAM), dairy cattle, low productivity systems</t>
  </si>
  <si>
    <t>kg</t>
  </si>
  <si>
    <t>Typical animal mass (TAM), other cattle (mature male), low productivity systems</t>
  </si>
  <si>
    <r>
      <t>Default value for VS excretion rate (dairy cattle) (VS</t>
    </r>
    <r>
      <rPr>
        <vertAlign val="subscript"/>
        <sz val="12"/>
        <rFont val="Arial"/>
        <family val="2"/>
      </rPr>
      <t>rate</t>
    </r>
    <r>
      <rPr>
        <sz val="12"/>
        <rFont val="Arial"/>
        <family val="2"/>
      </rPr>
      <t>)</t>
    </r>
  </si>
  <si>
    <t>kg VS/1000kg TAM/day</t>
  </si>
  <si>
    <r>
      <t>Default value for VS excretion rate (other cattle) (VS</t>
    </r>
    <r>
      <rPr>
        <vertAlign val="subscript"/>
        <sz val="12"/>
        <rFont val="Arial"/>
        <family val="2"/>
      </rPr>
      <t>rate</t>
    </r>
    <r>
      <rPr>
        <sz val="12"/>
        <rFont val="Arial"/>
        <family val="2"/>
      </rPr>
      <t>)</t>
    </r>
  </si>
  <si>
    <t>Solid storage</t>
  </si>
  <si>
    <r>
      <t>g CH</t>
    </r>
    <r>
      <rPr>
        <vertAlign val="subscript"/>
        <sz val="12"/>
        <color theme="1"/>
        <rFont val="Arial"/>
        <family val="2"/>
      </rPr>
      <t>4</t>
    </r>
    <r>
      <rPr>
        <sz val="12"/>
        <color theme="1"/>
        <rFont val="Arial"/>
        <family val="2"/>
      </rPr>
      <t>/kgVS</t>
    </r>
  </si>
  <si>
    <r>
      <t>g CH</t>
    </r>
    <r>
      <rPr>
        <vertAlign val="subscript"/>
        <sz val="12"/>
        <rFont val="Arial"/>
        <family val="2"/>
      </rPr>
      <t>4</t>
    </r>
    <r>
      <rPr>
        <sz val="12"/>
        <rFont val="Arial"/>
        <family val="2"/>
      </rPr>
      <t>/kgVS</t>
    </r>
  </si>
  <si>
    <t>Tier 1/1a default EF for dairy cattle: Low-productivity systems, 1,700kg milk/head/yr (default for the Indian Subcontinent)</t>
  </si>
  <si>
    <r>
      <t>kg CH</t>
    </r>
    <r>
      <rPr>
        <vertAlign val="subscript"/>
        <sz val="12"/>
        <color theme="1"/>
        <rFont val="Arial"/>
        <family val="2"/>
      </rPr>
      <t>4</t>
    </r>
    <r>
      <rPr>
        <sz val="12"/>
        <color theme="1"/>
        <rFont val="Arial"/>
        <family val="2"/>
      </rPr>
      <t>/head/yr</t>
    </r>
  </si>
  <si>
    <t>Tier 1/1a default EF for other cattle: Low-productivity systems, 1,700kg milk/head/yr (defaults for the Indian Subcontinent)</t>
  </si>
  <si>
    <r>
      <rPr>
        <i/>
        <sz val="12"/>
        <color theme="1"/>
        <rFont val="Arial"/>
        <family val="2"/>
      </rPr>
      <t>Adjusted emission factor for policy scenarios: EF</t>
    </r>
    <r>
      <rPr>
        <i/>
        <vertAlign val="subscript"/>
        <sz val="12"/>
        <color theme="1"/>
        <rFont val="Arial"/>
        <family val="2"/>
      </rPr>
      <t>Mit</t>
    </r>
    <r>
      <rPr>
        <i/>
        <sz val="12"/>
        <color theme="1"/>
        <rFont val="Arial"/>
        <family val="2"/>
      </rPr>
      <t xml:space="preserve"> </t>
    </r>
    <r>
      <rPr>
        <sz val="12"/>
        <color theme="1"/>
        <rFont val="Arial"/>
        <family val="2"/>
      </rPr>
      <t>for dairy cattle; Low-productivity systems, 1,700kg milk/head/yr (default for the Indian Subcontinent). Assumes a 10.6% downward adjustment from improved forage quality.</t>
    </r>
  </si>
  <si>
    <r>
      <rPr>
        <i/>
        <sz val="12"/>
        <color theme="1"/>
        <rFont val="Arial"/>
        <family val="2"/>
      </rPr>
      <t>Adjusted emission factor for policy scenarios: EF</t>
    </r>
    <r>
      <rPr>
        <i/>
        <vertAlign val="subscript"/>
        <sz val="12"/>
        <color theme="1"/>
        <rFont val="Arial"/>
        <family val="2"/>
      </rPr>
      <t>Mit</t>
    </r>
    <r>
      <rPr>
        <i/>
        <sz val="12"/>
        <color theme="1"/>
        <rFont val="Arial"/>
        <family val="2"/>
      </rPr>
      <t xml:space="preserve"> </t>
    </r>
    <r>
      <rPr>
        <sz val="12"/>
        <color theme="1"/>
        <rFont val="Arial"/>
        <family val="2"/>
      </rPr>
      <t>for other cattle; Low-productivity systems, 1,700kg milk/head/yr (default for the Indian Subcontinent). Assumes a 10.6% downward adjustment from improved forage quality.</t>
    </r>
  </si>
  <si>
    <t>National cattle population (# of heads)</t>
  </si>
  <si>
    <t>Sub-population: dairy cattle (# of heads)</t>
  </si>
  <si>
    <t>Sub-population: other cattle (# of heads)</t>
  </si>
  <si>
    <t>National farmers (capita)</t>
  </si>
  <si>
    <t>t+1</t>
  </si>
  <si>
    <t>t+2</t>
  </si>
  <si>
    <t>t+3</t>
  </si>
  <si>
    <t>t+4</t>
  </si>
  <si>
    <t>t+5</t>
  </si>
  <si>
    <t>t+6</t>
  </si>
  <si>
    <t>t+7</t>
  </si>
  <si>
    <t>t+8</t>
  </si>
  <si>
    <t>t+9</t>
  </si>
  <si>
    <t>Note</t>
  </si>
  <si>
    <t>Sub-population: dairy cattle</t>
  </si>
  <si>
    <t># of heads</t>
  </si>
  <si>
    <t>3% population growth rate</t>
  </si>
  <si>
    <t>Sub-population: other cattle</t>
  </si>
  <si>
    <t>Dairy cattle emissions</t>
  </si>
  <si>
    <r>
      <t>Gg CH</t>
    </r>
    <r>
      <rPr>
        <vertAlign val="subscript"/>
        <sz val="12"/>
        <rFont val="Arial"/>
        <family val="2"/>
      </rPr>
      <t>4</t>
    </r>
  </si>
  <si>
    <t>Other cattle emissions</t>
  </si>
  <si>
    <r>
      <t>WOM enteric fermentation CH</t>
    </r>
    <r>
      <rPr>
        <vertAlign val="subscript"/>
        <sz val="12"/>
        <color theme="1"/>
        <rFont val="Arial"/>
        <family val="2"/>
      </rPr>
      <t>4</t>
    </r>
    <r>
      <rPr>
        <sz val="12"/>
        <color theme="1"/>
        <rFont val="Arial"/>
        <family val="2"/>
      </rPr>
      <t xml:space="preserve"> emissions</t>
    </r>
  </si>
  <si>
    <r>
      <t>Gg CO</t>
    </r>
    <r>
      <rPr>
        <vertAlign val="subscript"/>
        <sz val="12"/>
        <rFont val="Arial"/>
        <family val="2"/>
      </rPr>
      <t>2</t>
    </r>
    <r>
      <rPr>
        <sz val="12"/>
        <rFont val="Arial"/>
        <family val="2"/>
      </rPr>
      <t>e</t>
    </r>
  </si>
  <si>
    <r>
      <t>Manure CH</t>
    </r>
    <r>
      <rPr>
        <b/>
        <vertAlign val="subscript"/>
        <sz val="12"/>
        <color theme="1"/>
        <rFont val="Arial"/>
        <family val="2"/>
      </rPr>
      <t>4</t>
    </r>
    <r>
      <rPr>
        <b/>
        <sz val="12"/>
        <color theme="1"/>
        <rFont val="Arial"/>
        <family val="2"/>
      </rPr>
      <t xml:space="preserve"> (dairy cattle)</t>
    </r>
  </si>
  <si>
    <t>Population</t>
  </si>
  <si>
    <t>VS</t>
  </si>
  <si>
    <t>kg VS/animal/yr</t>
  </si>
  <si>
    <t>Proportion of manure stored as solids and used as crop fertiliser</t>
  </si>
  <si>
    <t>%</t>
  </si>
  <si>
    <t>80% stored as solids (half used for fuel and half applied to land)</t>
  </si>
  <si>
    <r>
      <t>CH</t>
    </r>
    <r>
      <rPr>
        <vertAlign val="subscript"/>
        <sz val="12"/>
        <color theme="1"/>
        <rFont val="Arial"/>
        <family val="2"/>
      </rPr>
      <t>4</t>
    </r>
    <r>
      <rPr>
        <sz val="12"/>
        <color theme="1"/>
        <rFont val="Arial"/>
        <family val="2"/>
      </rPr>
      <t xml:space="preserve"> emissions - solid storage</t>
    </r>
  </si>
  <si>
    <r>
      <t>kg CH</t>
    </r>
    <r>
      <rPr>
        <vertAlign val="subscript"/>
        <sz val="12"/>
        <rFont val="Arial"/>
        <family val="2"/>
      </rPr>
      <t>4</t>
    </r>
  </si>
  <si>
    <r>
      <t>Manure CH</t>
    </r>
    <r>
      <rPr>
        <b/>
        <vertAlign val="subscript"/>
        <sz val="12"/>
        <color theme="1"/>
        <rFont val="Arial"/>
        <family val="2"/>
      </rPr>
      <t>4</t>
    </r>
    <r>
      <rPr>
        <b/>
        <sz val="12"/>
        <color theme="1"/>
        <rFont val="Arial"/>
        <family val="2"/>
      </rPr>
      <t xml:space="preserve"> (other cattle)</t>
    </r>
  </si>
  <si>
    <t>TOTAL WOM emissions</t>
  </si>
  <si>
    <t>Optimistic (WAM-HIGH)</t>
  </si>
  <si>
    <t xml:space="preserve">Uptake of practices (% national farms) </t>
  </si>
  <si>
    <r>
      <t>WAM-HIGH enteric fermentation CH</t>
    </r>
    <r>
      <rPr>
        <vertAlign val="subscript"/>
        <sz val="12"/>
        <color theme="1"/>
        <rFont val="Arial"/>
        <family val="2"/>
      </rPr>
      <t>4</t>
    </r>
    <r>
      <rPr>
        <sz val="12"/>
        <color theme="1"/>
        <rFont val="Arial"/>
        <family val="2"/>
      </rPr>
      <t xml:space="preserve"> emissions</t>
    </r>
  </si>
  <si>
    <t>Population maintained annually (i.e., no increase in population due to increased productivity of existing population)</t>
  </si>
  <si>
    <t>On-farm observed changes in practices</t>
  </si>
  <si>
    <t>Conservative (WAM-LOW)</t>
  </si>
  <si>
    <t>1% population growth rate annually</t>
  </si>
  <si>
    <r>
      <t>WAM-LOW enteric fermentation CH</t>
    </r>
    <r>
      <rPr>
        <vertAlign val="subscript"/>
        <sz val="12"/>
        <color theme="1"/>
        <rFont val="Arial"/>
        <family val="2"/>
      </rPr>
      <t>4</t>
    </r>
    <r>
      <rPr>
        <sz val="12"/>
        <color theme="1"/>
        <rFont val="Arial"/>
        <family val="2"/>
      </rPr>
      <t xml:space="preserve"> emissions</t>
    </r>
  </si>
  <si>
    <t>Tier 1 and Tier 2</t>
  </si>
  <si>
    <t>Parameter and unit</t>
  </si>
  <si>
    <t>Potential sources of data</t>
  </si>
  <si>
    <t>Calculates (Output)</t>
  </si>
  <si>
    <t>Suggested monitoring frequency</t>
  </si>
  <si>
    <t>GHGs</t>
  </si>
  <si>
    <r>
      <rPr>
        <i/>
        <sz val="10"/>
        <color theme="1"/>
        <rFont val="Arial"/>
        <family val="2"/>
      </rPr>
      <t>Livestock population categorisation</t>
    </r>
    <r>
      <rPr>
        <sz val="10"/>
        <color theme="1"/>
        <rFont val="Arial"/>
        <family val="2"/>
      </rPr>
      <t>: defining livestock categories according to species, productivity level (high, low) and diet (unitless), and manure management system. Level of disaggregation of livestock species and categories for manure emission estimation may be different to how livestock were disaggregated to estimate impacts of policies targeting enteric fermentation emissions. For example, less disaggregation of cattle and more disaggregation of swine may be necessary (depending on the country’s specific agriculture production types and circumstances).</t>
    </r>
  </si>
  <si>
    <t>2019 Refinement, Vol 4, Ch 10, Table 10.1; Agriculture or livestock survey or census; Extrapolation from sample surveys or measurements</t>
  </si>
  <si>
    <t>Once / as necessary</t>
  </si>
  <si>
    <r>
      <rPr>
        <i/>
        <sz val="10"/>
        <color theme="1"/>
        <rFont val="Arial"/>
        <family val="2"/>
      </rPr>
      <t>N</t>
    </r>
    <r>
      <rPr>
        <sz val="10"/>
        <color theme="1"/>
        <rFont val="Arial"/>
        <family val="2"/>
      </rPr>
      <t>: Annual average livestock population in each category (head/yr), estimated from number of animals produced annually</t>
    </r>
  </si>
  <si>
    <t>Annually  </t>
  </si>
  <si>
    <r>
      <rPr>
        <i/>
        <sz val="10"/>
        <color theme="1"/>
        <rFont val="Arial"/>
        <family val="2"/>
      </rPr>
      <t>Animal Waste Management System (AWMS)</t>
    </r>
    <r>
      <rPr>
        <sz val="10"/>
        <color theme="1"/>
        <rFont val="Arial"/>
        <family val="2"/>
      </rPr>
      <t>: Proportion of manure managed in each manure management system, by livestock species and category and productivity class where applicable</t>
    </r>
  </si>
  <si>
    <t>2019 Refinement, Vol 4, Ch10, default manure management storage fractions per species are provided in Annex Tables 10A.6, 10A.7, 10A.8, and 10A.9.
Further details required for Tier 2: use expert knowledge or national agriculture census / survey providing manure management system usage data. Division of liquid manure mangement systems is &lt;15% dry matter content. Where data unavailable for a portion of the variables, use 2019 Refinement, Vol 4, CH10, Annex 10A.1 and 10A.2</t>
  </si>
  <si>
    <t>Once</t>
  </si>
  <si>
    <r>
      <rPr>
        <i/>
        <sz val="10"/>
        <color theme="1"/>
        <rFont val="Arial"/>
        <family val="2"/>
      </rPr>
      <t>Typical animal mass (TAM)</t>
    </r>
    <r>
      <rPr>
        <sz val="10"/>
        <color theme="1"/>
        <rFont val="Arial"/>
        <family val="2"/>
      </rPr>
      <t xml:space="preserve"> (kg/animal)</t>
    </r>
  </si>
  <si>
    <t>Periodically </t>
  </si>
  <si>
    <r>
      <rPr>
        <i/>
        <sz val="10"/>
        <color theme="1"/>
        <rFont val="Arial"/>
        <family val="2"/>
      </rPr>
      <t>Productivity system level</t>
    </r>
    <r>
      <rPr>
        <sz val="10"/>
        <color theme="1"/>
        <rFont val="Arial"/>
        <family val="2"/>
      </rPr>
      <t>: Used to disaggregate default emission factors and parameters based on productivity level of the system, low or high when using Tier 1a</t>
    </r>
  </si>
  <si>
    <t>Defined in 2019 Refinement, Vol 4, Ch 10, Section 10.2.2; Agriculture or livestock survey or census</t>
  </si>
  <si>
    <t>Once per category</t>
  </si>
  <si>
    <t>Country's GHG Inventory</t>
  </si>
  <si>
    <t>Converts CH4, N2O to CO2e emissions</t>
  </si>
  <si>
    <t>Once, unless updated by IPCC or inventory compilers use the updated value</t>
  </si>
  <si>
    <t>CH4, direct N2O, indirect N2O</t>
  </si>
  <si>
    <t>Tier 1 and Tier 1a</t>
  </si>
  <si>
    <r>
      <t>CH</t>
    </r>
    <r>
      <rPr>
        <b/>
        <vertAlign val="subscript"/>
        <sz val="14"/>
        <color theme="1"/>
        <rFont val="Arial"/>
        <family val="2"/>
      </rPr>
      <t>4</t>
    </r>
  </si>
  <si>
    <r>
      <rPr>
        <i/>
        <sz val="10"/>
        <color theme="1"/>
        <rFont val="Arial"/>
        <family val="2"/>
      </rPr>
      <t>Average volatile solids (VS)</t>
    </r>
    <r>
      <rPr>
        <sz val="10"/>
        <color theme="1"/>
        <rFont val="Arial"/>
        <family val="2"/>
      </rPr>
      <t>: Amount excreted per 1000 kg animal mass (kg VS 1000kg/animal mass/yr), per species and category per year, per productivity class where applicable. Calculated by the VS excretion rates.</t>
    </r>
  </si>
  <si>
    <t>2019 Refinement, Vol 4, Ch10, Table 10.13a</t>
  </si>
  <si>
    <r>
      <t>Direct and Indirect N</t>
    </r>
    <r>
      <rPr>
        <b/>
        <vertAlign val="subscript"/>
        <sz val="14"/>
        <color theme="1"/>
        <rFont val="Arial"/>
        <family val="2"/>
      </rPr>
      <t>2</t>
    </r>
    <r>
      <rPr>
        <b/>
        <sz val="14"/>
        <color theme="1"/>
        <rFont val="Arial"/>
        <family val="2"/>
      </rPr>
      <t>O</t>
    </r>
  </si>
  <si>
    <r>
      <rPr>
        <i/>
        <sz val="10"/>
        <color theme="1"/>
        <rFont val="Arial"/>
        <family val="2"/>
      </rPr>
      <t>Nex:</t>
    </r>
    <r>
      <rPr>
        <sz val="10"/>
        <color theme="1"/>
        <rFont val="Arial"/>
        <family val="2"/>
      </rPr>
      <t xml:space="preserve"> Average annual nitrogen excretion by livestock species and category (kg N/animal/yr)</t>
    </r>
  </si>
  <si>
    <r>
      <t xml:space="preserve">2019 Refinement, Vol 4, Ch10,  Annex Table 10A.2, and 10A.5 to 10A.9 for default animal weights and manure management system
allocations to calculate </t>
    </r>
    <r>
      <rPr>
        <i/>
        <sz val="10"/>
        <color theme="1"/>
        <rFont val="Arial"/>
        <family val="2"/>
      </rPr>
      <t>Nex</t>
    </r>
    <r>
      <rPr>
        <sz val="10"/>
        <color theme="1"/>
        <rFont val="Arial"/>
        <family val="2"/>
      </rPr>
      <t xml:space="preserve"> per species and category). Note: Requires </t>
    </r>
    <r>
      <rPr>
        <i/>
        <sz val="10"/>
        <color theme="1"/>
        <rFont val="Arial"/>
        <family val="2"/>
      </rPr>
      <t>TAM</t>
    </r>
    <r>
      <rPr>
        <sz val="10"/>
        <color theme="1"/>
        <rFont val="Arial"/>
        <family val="2"/>
      </rPr>
      <t xml:space="preserve"> also, described in table for all levels.</t>
    </r>
  </si>
  <si>
    <r>
      <rPr>
        <i/>
        <sz val="10"/>
        <color theme="1"/>
        <rFont val="Arial"/>
        <family val="2"/>
      </rPr>
      <t>Default N excretion rate (N rate):</t>
    </r>
    <r>
      <rPr>
        <sz val="10"/>
        <color theme="1"/>
        <rFont val="Arial"/>
        <family val="2"/>
      </rPr>
      <t xml:space="preserve"> N excretion rate per species and category, and productivity level, if applicable (kg N/1000 kg animal mass)/day)</t>
    </r>
  </si>
  <si>
    <t>2019 Refinement, Vol 4, Ch10, Table 10.19</t>
  </si>
  <si>
    <t>Nex</t>
  </si>
  <si>
    <t>2019 Refinement, Vol 4, Ch10, Table 10.21</t>
  </si>
  <si>
    <t>Ncdg: Only relevant if countries have biogas digestors, total kg dry matter of codigested material (kg N/yr)</t>
  </si>
  <si>
    <t>Expert knowledge and national measurements</t>
  </si>
  <si>
    <t>Requires AWMS, described in table for all levels</t>
  </si>
  <si>
    <t>Fraction of nitrogen lost by volatilization, necessary to estimate N volatilization</t>
  </si>
  <si>
    <r>
      <rPr>
        <i/>
        <sz val="10"/>
        <rFont val="Arial"/>
        <family val="2"/>
      </rPr>
      <t xml:space="preserve">Nvolatilization: </t>
    </r>
    <r>
      <rPr>
        <sz val="10"/>
        <rFont val="Arial"/>
        <family val="2"/>
      </rPr>
      <t>Amount of manure nitrogen lost from volatilisation (kg N/yr)</t>
    </r>
  </si>
  <si>
    <t>2019 Refinement, Vol 4, Ch10, Equation 10.26</t>
  </si>
  <si>
    <t>2019 Refinement, Vol 4, Ch11 Table 11.3</t>
  </si>
  <si>
    <r>
      <rPr>
        <i/>
        <sz val="10"/>
        <rFont val="Arial"/>
        <family val="2"/>
      </rPr>
      <t xml:space="preserve">FracLEACH-S: </t>
    </r>
    <r>
      <rPr>
        <sz val="10"/>
        <rFont val="Arial"/>
        <family val="2"/>
      </rPr>
      <t xml:space="preserve">Proportion of managed manure nitrogen lost by leaching or run-off per species, category and manure management system, </t>
    </r>
  </si>
  <si>
    <r>
      <rPr>
        <i/>
        <sz val="10"/>
        <rFont val="Arial"/>
        <family val="2"/>
      </rPr>
      <t>Nleaching</t>
    </r>
    <r>
      <rPr>
        <sz val="10"/>
        <rFont val="Arial"/>
        <family val="2"/>
      </rPr>
      <t xml:space="preserve">: Amount of manure nitrogen lost from leaching and runoff (kg N/yr) </t>
    </r>
  </si>
  <si>
    <t>2019 Refinement, Vol 4, Ch10, Equation 10.27</t>
  </si>
  <si>
    <t>2019 Refinement, Vol 4, Ch11 Table 11.4</t>
  </si>
  <si>
    <t>Tier 2</t>
  </si>
  <si>
    <r>
      <rPr>
        <i/>
        <sz val="10"/>
        <color theme="1"/>
        <rFont val="Arial"/>
        <family val="2"/>
      </rPr>
      <t>Livestock population categorisation</t>
    </r>
    <r>
      <rPr>
        <sz val="10"/>
        <color theme="1"/>
        <rFont val="Arial"/>
        <family val="2"/>
      </rPr>
      <t>: should be further disaggregated as relevant to variations in climate over area of policy implementation</t>
    </r>
  </si>
  <si>
    <t>Expert opinion. National agriculture census / survey</t>
  </si>
  <si>
    <t>Annually</t>
  </si>
  <si>
    <r>
      <t xml:space="preserve">Country-specific </t>
    </r>
    <r>
      <rPr>
        <i/>
        <sz val="10"/>
        <color theme="1"/>
        <rFont val="Arial"/>
        <family val="2"/>
      </rPr>
      <t>VS</t>
    </r>
    <r>
      <rPr>
        <sz val="10"/>
        <color theme="1"/>
        <rFont val="Arial"/>
        <family val="2"/>
      </rPr>
      <t xml:space="preserve"> excretion rates: Average volatile solids (</t>
    </r>
    <r>
      <rPr>
        <i/>
        <sz val="10"/>
        <color theme="1"/>
        <rFont val="Arial"/>
        <family val="2"/>
      </rPr>
      <t>VS</t>
    </r>
    <r>
      <rPr>
        <sz val="10"/>
        <color theme="1"/>
        <rFont val="Arial"/>
        <family val="2"/>
      </rPr>
      <t>) excreted per 1000 kg animal mass per species and category per year (kg VS 1000kg/animal mass/yr)</t>
    </r>
  </si>
  <si>
    <t>Expert knowledge or national agriculture census / survey providing manure management system usage data</t>
  </si>
  <si>
    <t>Country-specific VS emissions</t>
  </si>
  <si>
    <t>All inputs to calculate country-specific VS:
GE = gross energy intake per day
UE x GE = urinary energy as % of GE
DE = % feed digestbility
ASH = ash content of feed (fraction)</t>
  </si>
  <si>
    <t>Expert knowledge and research studies. GE calculated for enteric fermentation emissions (which will generally have been done for policies related to feeding strategies, which affect enteric fermentation and manure based emissions). DE percent values are provided in 2019 refinement, Vol 4, Ch10, Table 10.2 if needed.</t>
  </si>
  <si>
    <t>Expert knowledge and research studies. Note if using Table 10.17 for MCF, a single B0 of 0.19 should be used as described in 2019 Refinement. Where country-specific data unavailable, use 2019 Refinement, Vol 4, Ch10, Table 10.16 and IPCC 2006 Guidelines, Vol 4, Ch10, Annex 10A.1 and 10A.2.</t>
  </si>
  <si>
    <r>
      <t>Direct &amp; Indirect N</t>
    </r>
    <r>
      <rPr>
        <b/>
        <vertAlign val="subscript"/>
        <sz val="14"/>
        <rFont val="Arial"/>
        <family val="2"/>
      </rPr>
      <t>2</t>
    </r>
    <r>
      <rPr>
        <b/>
        <sz val="14"/>
        <rFont val="Arial"/>
        <family val="2"/>
      </rPr>
      <t>O</t>
    </r>
  </si>
  <si>
    <r>
      <rPr>
        <i/>
        <sz val="10"/>
        <color theme="1"/>
        <rFont val="Arial"/>
        <family val="2"/>
      </rPr>
      <t xml:space="preserve">Nex: </t>
    </r>
    <r>
      <rPr>
        <sz val="10"/>
        <color theme="1"/>
        <rFont val="Arial"/>
        <family val="2"/>
      </rPr>
      <t>Country-specific average annual nitrogen excretion by livestock species and category (kg N animal-1 yr-1), Nex</t>
    </r>
  </si>
  <si>
    <t>Agriculture or livestock survey or census providing manure data. Expert knowledge and measurements.</t>
  </si>
  <si>
    <r>
      <t>Dry matter intake (</t>
    </r>
    <r>
      <rPr>
        <i/>
        <sz val="10"/>
        <color theme="1"/>
        <rFont val="Arial"/>
        <family val="2"/>
      </rPr>
      <t>DMI</t>
    </r>
    <r>
      <rPr>
        <sz val="10"/>
        <color theme="1"/>
        <rFont val="Arial"/>
        <family val="2"/>
      </rPr>
      <t>), gross energy (</t>
    </r>
    <r>
      <rPr>
        <i/>
        <sz val="10"/>
        <color theme="1"/>
        <rFont val="Arial"/>
        <family val="2"/>
      </rPr>
      <t>GE</t>
    </r>
    <r>
      <rPr>
        <sz val="10"/>
        <color theme="1"/>
        <rFont val="Arial"/>
        <family val="2"/>
      </rPr>
      <t>) and crude protein percentage (</t>
    </r>
    <r>
      <rPr>
        <i/>
        <sz val="10"/>
        <color theme="1"/>
        <rFont val="Arial"/>
        <family val="2"/>
      </rPr>
      <t>CP%</t>
    </r>
    <r>
      <rPr>
        <sz val="10"/>
        <color theme="1"/>
        <rFont val="Arial"/>
        <family val="2"/>
      </rPr>
      <t>) are required to calculate N intake for cattle, sheep and goats</t>
    </r>
  </si>
  <si>
    <t>See enteric fermentation for DMI &amp; GE
For default CP% values, see 2019 Refinement, Vol 4, Ch10 Table 10A.1, Table 10A.2 and Table 10A.3</t>
  </si>
  <si>
    <r>
      <t xml:space="preserve">Fraction or amount of daily N intake that is retained by animal, per species and category, dimensionless, </t>
    </r>
    <r>
      <rPr>
        <i/>
        <sz val="10"/>
        <color theme="1"/>
        <rFont val="Arial"/>
        <family val="2"/>
      </rPr>
      <t>N retention_frac or N retention</t>
    </r>
  </si>
  <si>
    <t>Calculated. 2019 Refinement, Vol 4 Ch10, Equation 10.31 and Equation 10.31A</t>
  </si>
  <si>
    <t>Peer reviewed studies for country-specific emission factors will use measurements of emissions (per unit of manure N) and survey or census data that provides manure and manure mangaement system usage data in combination with expert knowledge. Emission factors should therefore reflect the actual duration of storage and type of treatment of manure in each management system.</t>
  </si>
  <si>
    <t>As above</t>
  </si>
  <si>
    <r>
      <rPr>
        <i/>
        <sz val="10"/>
        <color theme="1"/>
        <rFont val="Arial"/>
        <family val="2"/>
      </rPr>
      <t>Livestock population categorisation</t>
    </r>
    <r>
      <rPr>
        <sz val="10"/>
        <color theme="1"/>
        <rFont val="Arial"/>
        <family val="2"/>
      </rPr>
      <t>: defining livestock categories according to species, productivity level (high, low) and diet (unitless)</t>
    </r>
  </si>
  <si>
    <t>2019 Refinement, Vol 4, Ch 10, Table 10.1. Agriculture or livestock survey or census. Extrapolation from sample surveys or measurements.</t>
  </si>
  <si>
    <t>NA - Categorisation</t>
  </si>
  <si>
    <t>Once; can be updated in conjunction with collecting data on average annual livestock population  (see next parameter).</t>
  </si>
  <si>
    <t>NA - Activity data</t>
  </si>
  <si>
    <r>
      <rPr>
        <i/>
        <sz val="10"/>
        <color theme="1"/>
        <rFont val="Arial"/>
        <family val="2"/>
      </rPr>
      <t>Average daily feed intake (DMI)</t>
    </r>
    <r>
      <rPr>
        <sz val="10"/>
        <color theme="1"/>
        <rFont val="Arial"/>
        <family val="2"/>
      </rPr>
      <t>: Details in Tier 1 and Tier 2 (MJ/day and/or kg DMI/day)</t>
    </r>
  </si>
  <si>
    <t>Tier 1 - IPCC default values, Tier 2 - requirement for cattle and buffalo, and for key emission source categories</t>
  </si>
  <si>
    <t>Enteric fermentation emissions, used also for some aspects of manure emissions calculations</t>
  </si>
  <si>
    <r>
      <rPr>
        <i/>
        <sz val="10"/>
        <color theme="1"/>
        <rFont val="Arial"/>
        <family val="2"/>
      </rPr>
      <t xml:space="preserve">Weight: </t>
    </r>
    <r>
      <rPr>
        <sz val="10"/>
        <color theme="1"/>
        <rFont val="Arial"/>
        <family val="2"/>
      </rPr>
      <t>Average animal live weight per category (kg)</t>
    </r>
  </si>
  <si>
    <t>Agriculture or livestock survey or census; Extrapolation from sample surveys or measurements</t>
  </si>
  <si>
    <t>Tier 1 EF</t>
  </si>
  <si>
    <r>
      <rPr>
        <i/>
        <sz val="10"/>
        <color theme="1"/>
        <rFont val="Arial"/>
        <family val="2"/>
      </rPr>
      <t>WG:</t>
    </r>
    <r>
      <rPr>
        <sz val="10"/>
        <color theme="1"/>
        <rFont val="Arial"/>
        <family val="2"/>
      </rPr>
      <t xml:space="preserve"> Average animal growth rate (weight gain) per category (kg/day)</t>
    </r>
  </si>
  <si>
    <r>
      <rPr>
        <i/>
        <sz val="10"/>
        <color theme="1"/>
        <rFont val="Arial"/>
        <family val="2"/>
      </rPr>
      <t>Milk</t>
    </r>
    <r>
      <rPr>
        <sz val="10"/>
        <color theme="1"/>
        <rFont val="Arial"/>
        <family val="2"/>
      </rPr>
      <t>: Average animal milk production per category (kg/ head/day)</t>
    </r>
  </si>
  <si>
    <t>Agriculture or livestock survey or census; Extrapolation from sample surveys or measurements; Extrapolated from milk production economic statistics</t>
  </si>
  <si>
    <t>Once per category </t>
  </si>
  <si>
    <t>2019 Refinement, Vol 4, Ch 10, Tables 10.11, 10.A.1 and 10A.2</t>
  </si>
  <si>
    <r>
      <rPr>
        <i/>
        <sz val="10"/>
        <color theme="1"/>
        <rFont val="Arial"/>
        <family val="2"/>
      </rPr>
      <t>Productivity system level:</t>
    </r>
    <r>
      <rPr>
        <sz val="10"/>
        <color theme="1"/>
        <rFont val="Arial"/>
        <family val="2"/>
      </rPr>
      <t xml:space="preserve"> Productivity level to disaggregate default emission factors and parameters based on productivity level of the system, low or high when using Tier 1a</t>
    </r>
  </si>
  <si>
    <t>Weight: Live weight of animal (kg)</t>
  </si>
  <si>
    <r>
      <t>Net energy for maintenance (</t>
    </r>
    <r>
      <rPr>
        <i/>
        <sz val="10"/>
        <color theme="1"/>
        <rFont val="Arial"/>
        <family val="2"/>
      </rPr>
      <t>NEm</t>
    </r>
    <r>
      <rPr>
        <sz val="10"/>
        <color theme="1"/>
        <rFont val="Arial"/>
        <family val="2"/>
      </rPr>
      <t>); 
Gross energy (</t>
    </r>
    <r>
      <rPr>
        <i/>
        <sz val="10"/>
        <color theme="1"/>
        <rFont val="Arial"/>
        <family val="2"/>
      </rPr>
      <t>GE</t>
    </r>
    <r>
      <rPr>
        <sz val="10"/>
        <color theme="1"/>
        <rFont val="Arial"/>
        <family val="2"/>
      </rPr>
      <t>); Dry matter intake (</t>
    </r>
    <r>
      <rPr>
        <i/>
        <sz val="10"/>
        <color theme="1"/>
        <rFont val="Arial"/>
        <family val="2"/>
      </rPr>
      <t>DMI</t>
    </r>
    <r>
      <rPr>
        <sz val="10"/>
        <color theme="1"/>
        <rFont val="Arial"/>
        <family val="2"/>
      </rPr>
      <t>)</t>
    </r>
  </si>
  <si>
    <t>Periodically</t>
  </si>
  <si>
    <t>NEg. GE. DMI.</t>
  </si>
  <si>
    <r>
      <rPr>
        <i/>
        <sz val="10"/>
        <color theme="1"/>
        <rFont val="Arial"/>
        <family val="2"/>
      </rPr>
      <t xml:space="preserve">WG: </t>
    </r>
    <r>
      <rPr>
        <sz val="10"/>
        <color theme="1"/>
        <rFont val="Arial"/>
        <family val="2"/>
      </rPr>
      <t>Average animal growth rate (weight gain) per category (kg/day)</t>
    </r>
  </si>
  <si>
    <t>NEg. GE. DMI. Nretention.</t>
  </si>
  <si>
    <t xml:space="preserve">Periodically </t>
  </si>
  <si>
    <t xml:space="preserve">MW: Mature weight (kg) </t>
  </si>
  <si>
    <r>
      <rPr>
        <i/>
        <sz val="10"/>
        <color theme="1"/>
        <rFont val="Arial"/>
        <family val="2"/>
      </rPr>
      <t xml:space="preserve">Number: </t>
    </r>
    <r>
      <rPr>
        <sz val="10"/>
        <color theme="1"/>
        <rFont val="Arial"/>
        <family val="2"/>
      </rPr>
      <t xml:space="preserve">Average number of hours worked per day (draft animals only) (hours/day) </t>
    </r>
  </si>
  <si>
    <t>NEwork. GE. DMI.</t>
  </si>
  <si>
    <t>Confined, grazing, pasture feeding situation   (unitless)</t>
  </si>
  <si>
    <t>NEa. GE. DMI.</t>
  </si>
  <si>
    <r>
      <t xml:space="preserve">Activity coefficient by feeding situation (unitless); </t>
    </r>
    <r>
      <rPr>
        <i/>
        <sz val="10"/>
        <color theme="1"/>
        <rFont val="Arial"/>
        <family val="2"/>
      </rPr>
      <t>Cattle and buffalo: Stall, pasture, grazing large areas Sheep: Housed ewes, grazing flat pasture, grazing hilly pasture, housed fattening lambs</t>
    </r>
  </si>
  <si>
    <t>2019 Refinement, Vol 4, Ch10 Table 10.5</t>
  </si>
  <si>
    <t>Once per feeding situation</t>
  </si>
  <si>
    <t>Mean winter temperature (°C)</t>
  </si>
  <si>
    <t>National meteorological data</t>
  </si>
  <si>
    <r>
      <rPr>
        <i/>
        <sz val="10"/>
        <color theme="1"/>
        <rFont val="Arial"/>
        <family val="2"/>
      </rPr>
      <t xml:space="preserve">Milk </t>
    </r>
    <r>
      <rPr>
        <sz val="10"/>
        <color theme="1"/>
        <rFont val="Arial"/>
        <family val="2"/>
      </rPr>
      <t>(Sheep-specific: Evmilk, or if unknown, Wgwean): Average daily milk production for milking ewes, dairy cows and buffalo only (kg/day)</t>
    </r>
  </si>
  <si>
    <t>NEl. GE. DMI</t>
  </si>
  <si>
    <r>
      <rPr>
        <i/>
        <sz val="10"/>
        <color theme="1"/>
        <rFont val="Arial"/>
        <family val="2"/>
      </rPr>
      <t>Fat</t>
    </r>
    <r>
      <rPr>
        <sz val="10"/>
        <color theme="1"/>
        <rFont val="Arial"/>
        <family val="2"/>
      </rPr>
      <t xml:space="preserve">: Fat content of milk, for lactating cows, buffalo and sheep producing milk for human consumption (%) </t>
    </r>
  </si>
  <si>
    <r>
      <rPr>
        <i/>
        <sz val="10"/>
        <color theme="1"/>
        <rFont val="Arial"/>
        <family val="2"/>
      </rPr>
      <t xml:space="preserve">Nep, Nem: </t>
    </r>
    <r>
      <rPr>
        <sz val="10"/>
        <color theme="1"/>
        <rFont val="Arial"/>
        <family val="2"/>
      </rPr>
      <t>Percent of females that give birth in a year (for mature cattle, buffalo and sheep) (%)</t>
    </r>
  </si>
  <si>
    <t>NEp. GE. DMI</t>
  </si>
  <si>
    <r>
      <rPr>
        <i/>
        <sz val="10"/>
        <color theme="1"/>
        <rFont val="Arial"/>
        <family val="2"/>
      </rPr>
      <t xml:space="preserve">Cpregnancy: </t>
    </r>
    <r>
      <rPr>
        <sz val="10"/>
        <color theme="1"/>
        <rFont val="Arial"/>
        <family val="2"/>
      </rPr>
      <t>Number of offspring produced per year (for female livestock having multiple births per year) (head/yr)</t>
    </r>
  </si>
  <si>
    <r>
      <rPr>
        <i/>
        <sz val="10"/>
        <color theme="1"/>
        <rFont val="Arial"/>
        <family val="2"/>
      </rPr>
      <t xml:space="preserve">NEwool, EVwool, Productionwool: </t>
    </r>
    <r>
      <rPr>
        <sz val="10"/>
        <color theme="1"/>
        <rFont val="Arial"/>
        <family val="2"/>
      </rPr>
      <t>Average annual wool production (sheep only) (kg/head/yr)</t>
    </r>
  </si>
  <si>
    <t>Agriculture or livestock survey or census; Wool sales records</t>
  </si>
  <si>
    <t>NEwool. GE. DMI.</t>
  </si>
  <si>
    <r>
      <rPr>
        <i/>
        <sz val="10"/>
        <color theme="1"/>
        <rFont val="Arial"/>
        <family val="2"/>
      </rPr>
      <t>DE%</t>
    </r>
    <r>
      <rPr>
        <sz val="10"/>
        <color theme="1"/>
        <rFont val="Arial"/>
        <family val="2"/>
      </rPr>
      <t xml:space="preserve">: Feed digestibility (%), </t>
    </r>
  </si>
  <si>
    <t>2019 Refinement, Vol 4, Ch10 Table 10.2 (example values as a guideline). Measured values for the dominant feeds or forages being consumed by livestock. Expert knowledge. Data from representative research studies.</t>
  </si>
  <si>
    <t>REG. REM. DMI.</t>
  </si>
  <si>
    <t>Once per feed type per livestock type</t>
  </si>
  <si>
    <r>
      <rPr>
        <i/>
        <sz val="10"/>
        <color theme="1"/>
        <rFont val="Arial"/>
        <family val="2"/>
      </rPr>
      <t xml:space="preserve">NEm, NEa, NEg, NEl, NEwork, NEwool, NEp, REM, REG: </t>
    </r>
    <r>
      <rPr>
        <sz val="10"/>
        <color theme="1"/>
        <rFont val="Arial"/>
        <family val="2"/>
      </rPr>
      <t>Feed intake in terms of gross energy per livestock category (MJ/day or kg/DMI/day)</t>
    </r>
  </si>
  <si>
    <t>NA - calculated</t>
  </si>
  <si>
    <t>GE. DMI.</t>
  </si>
  <si>
    <r>
      <rPr>
        <i/>
        <sz val="10"/>
        <color theme="1"/>
        <rFont val="Arial"/>
        <family val="2"/>
      </rPr>
      <t>YM:</t>
    </r>
    <r>
      <rPr>
        <sz val="10"/>
        <color theme="1"/>
        <rFont val="Arial"/>
        <family val="2"/>
      </rPr>
      <t xml:space="preserve"> Methane conversion factor (gross energy in feed converted to methane) (%)</t>
    </r>
  </si>
  <si>
    <t>2019 Refinement, Vol 4, Ch 10,  Table 10.12 or 10.13. Estimated with published data.</t>
  </si>
  <si>
    <t>Tier 2 EF</t>
  </si>
  <si>
    <t>Published Tier 2: published data. Derived Tier 2: calculated using 2019 Refinement Equation 10.21, Vol 4, Ch 10</t>
  </si>
  <si>
    <t>As policy requires</t>
  </si>
  <si>
    <r>
      <t>FERTILIZER POLICY N</t>
    </r>
    <r>
      <rPr>
        <b/>
        <vertAlign val="subscript"/>
        <sz val="16"/>
        <color theme="1"/>
        <rFont val="Arial"/>
        <family val="2"/>
      </rPr>
      <t>2</t>
    </r>
    <r>
      <rPr>
        <b/>
        <sz val="16"/>
        <color theme="1"/>
        <rFont val="Arial"/>
        <family val="2"/>
      </rPr>
      <t>O EMISSION MITIGATION</t>
    </r>
  </si>
  <si>
    <r>
      <t>Gg CO</t>
    </r>
    <r>
      <rPr>
        <b/>
        <vertAlign val="subscript"/>
        <sz val="12"/>
        <color theme="1"/>
        <rFont val="Arial"/>
        <family val="2"/>
      </rPr>
      <t>2</t>
    </r>
    <r>
      <rPr>
        <b/>
        <sz val="12"/>
        <color theme="1"/>
        <rFont val="Arial"/>
        <family val="2"/>
      </rPr>
      <t>e mitigated</t>
    </r>
  </si>
  <si>
    <t>WAM-MED</t>
  </si>
  <si>
    <r>
      <t>EF</t>
    </r>
    <r>
      <rPr>
        <b/>
        <i/>
        <vertAlign val="subscript"/>
        <sz val="12"/>
        <color theme="1"/>
        <rFont val="Arial"/>
        <family val="2"/>
      </rPr>
      <t>1</t>
    </r>
  </si>
  <si>
    <r>
      <t>EF</t>
    </r>
    <r>
      <rPr>
        <b/>
        <i/>
        <vertAlign val="subscript"/>
        <sz val="12"/>
        <color theme="1"/>
        <rFont val="Arial"/>
        <family val="2"/>
      </rPr>
      <t>4</t>
    </r>
  </si>
  <si>
    <r>
      <t>EF</t>
    </r>
    <r>
      <rPr>
        <b/>
        <i/>
        <vertAlign val="subscript"/>
        <sz val="12"/>
        <color theme="1"/>
        <rFont val="Arial"/>
        <family val="2"/>
      </rPr>
      <t>5</t>
    </r>
  </si>
  <si>
    <r>
      <t>Frac</t>
    </r>
    <r>
      <rPr>
        <b/>
        <i/>
        <vertAlign val="subscript"/>
        <sz val="12"/>
        <color theme="1"/>
        <rFont val="Arial"/>
        <family val="2"/>
      </rPr>
      <t>GASF</t>
    </r>
  </si>
  <si>
    <r>
      <t>Frac</t>
    </r>
    <r>
      <rPr>
        <b/>
        <i/>
        <vertAlign val="subscript"/>
        <sz val="12"/>
        <color theme="1"/>
        <rFont val="Arial"/>
        <family val="2"/>
      </rPr>
      <t>LEACH</t>
    </r>
  </si>
  <si>
    <t>Annual cropland management</t>
  </si>
  <si>
    <t>Total Area (ha) - Tropical Dry Climate</t>
  </si>
  <si>
    <t>Total N applied (kg) dry (assuming 46% N in urea)</t>
  </si>
  <si>
    <t>Urea NOT applied using split application</t>
  </si>
  <si>
    <t>kg N/yr</t>
  </si>
  <si>
    <t xml:space="preserve">Urea applied using split application </t>
  </si>
  <si>
    <r>
      <t>Direct N</t>
    </r>
    <r>
      <rPr>
        <i/>
        <vertAlign val="subscript"/>
        <sz val="12"/>
        <color theme="1"/>
        <rFont val="Arial"/>
        <family val="2"/>
      </rPr>
      <t>2</t>
    </r>
    <r>
      <rPr>
        <i/>
        <sz val="12"/>
        <color theme="1"/>
        <rFont val="Arial"/>
        <family val="2"/>
      </rPr>
      <t>O emissions</t>
    </r>
  </si>
  <si>
    <r>
      <t>Direct N</t>
    </r>
    <r>
      <rPr>
        <vertAlign val="subscript"/>
        <sz val="12"/>
        <color theme="1"/>
        <rFont val="Arial"/>
        <family val="2"/>
      </rPr>
      <t>2</t>
    </r>
    <r>
      <rPr>
        <sz val="12"/>
        <color theme="1"/>
        <rFont val="Arial"/>
        <family val="2"/>
      </rPr>
      <t>O-N</t>
    </r>
  </si>
  <si>
    <r>
      <t>kg N</t>
    </r>
    <r>
      <rPr>
        <vertAlign val="subscript"/>
        <sz val="12"/>
        <color theme="1"/>
        <rFont val="Arial"/>
        <family val="2"/>
      </rPr>
      <t>2</t>
    </r>
    <r>
      <rPr>
        <sz val="12"/>
        <color theme="1"/>
        <rFont val="Arial"/>
        <family val="2"/>
      </rPr>
      <t>O-N/yr</t>
    </r>
  </si>
  <si>
    <r>
      <t>Direct N</t>
    </r>
    <r>
      <rPr>
        <vertAlign val="subscript"/>
        <sz val="12"/>
        <color theme="1"/>
        <rFont val="Arial"/>
        <family val="2"/>
      </rPr>
      <t>2</t>
    </r>
    <r>
      <rPr>
        <sz val="12"/>
        <color theme="1"/>
        <rFont val="Arial"/>
        <family val="2"/>
      </rPr>
      <t>O emissions</t>
    </r>
  </si>
  <si>
    <r>
      <t>kg N</t>
    </r>
    <r>
      <rPr>
        <vertAlign val="subscript"/>
        <sz val="12"/>
        <color theme="1"/>
        <rFont val="Arial"/>
        <family val="2"/>
      </rPr>
      <t>2</t>
    </r>
    <r>
      <rPr>
        <sz val="12"/>
        <color theme="1"/>
        <rFont val="Arial"/>
        <family val="2"/>
      </rPr>
      <t>O/yr</t>
    </r>
  </si>
  <si>
    <r>
      <t>Indirect N</t>
    </r>
    <r>
      <rPr>
        <i/>
        <vertAlign val="subscript"/>
        <sz val="12"/>
        <color theme="1"/>
        <rFont val="Arial"/>
        <family val="2"/>
      </rPr>
      <t>2</t>
    </r>
    <r>
      <rPr>
        <i/>
        <sz val="12"/>
        <color theme="1"/>
        <rFont val="Arial"/>
        <family val="2"/>
      </rPr>
      <t>O-N emissions</t>
    </r>
  </si>
  <si>
    <r>
      <t>Indirect N</t>
    </r>
    <r>
      <rPr>
        <vertAlign val="subscript"/>
        <sz val="12"/>
        <color theme="1"/>
        <rFont val="Arial"/>
        <family val="2"/>
      </rPr>
      <t>2</t>
    </r>
    <r>
      <rPr>
        <sz val="12"/>
        <color theme="1"/>
        <rFont val="Arial"/>
        <family val="2"/>
      </rPr>
      <t>O-N volatilisation</t>
    </r>
  </si>
  <si>
    <r>
      <t>Indirect N</t>
    </r>
    <r>
      <rPr>
        <vertAlign val="subscript"/>
        <sz val="12"/>
        <color theme="1"/>
        <rFont val="Arial"/>
        <family val="2"/>
      </rPr>
      <t>2</t>
    </r>
    <r>
      <rPr>
        <sz val="12"/>
        <color theme="1"/>
        <rFont val="Arial"/>
        <family val="2"/>
      </rPr>
      <t>O-N leaching</t>
    </r>
  </si>
  <si>
    <r>
      <t>Indirect N</t>
    </r>
    <r>
      <rPr>
        <vertAlign val="subscript"/>
        <sz val="12"/>
        <color theme="1"/>
        <rFont val="Arial"/>
        <family val="2"/>
      </rPr>
      <t>2</t>
    </r>
    <r>
      <rPr>
        <sz val="12"/>
        <color theme="1"/>
        <rFont val="Arial"/>
        <family val="2"/>
      </rPr>
      <t>O emissions volatilisation</t>
    </r>
  </si>
  <si>
    <r>
      <t>Indirect N</t>
    </r>
    <r>
      <rPr>
        <vertAlign val="subscript"/>
        <sz val="12"/>
        <color theme="1"/>
        <rFont val="Arial"/>
        <family val="2"/>
      </rPr>
      <t>2</t>
    </r>
    <r>
      <rPr>
        <sz val="12"/>
        <color theme="1"/>
        <rFont val="Arial"/>
        <family val="2"/>
      </rPr>
      <t>O emissions leaching</t>
    </r>
  </si>
  <si>
    <r>
      <t>Total N</t>
    </r>
    <r>
      <rPr>
        <i/>
        <vertAlign val="subscript"/>
        <sz val="12"/>
        <color theme="1"/>
        <rFont val="Arial"/>
        <family val="2"/>
      </rPr>
      <t>2</t>
    </r>
    <r>
      <rPr>
        <i/>
        <sz val="12"/>
        <color theme="1"/>
        <rFont val="Arial"/>
        <family val="2"/>
      </rPr>
      <t>O emissions</t>
    </r>
  </si>
  <si>
    <r>
      <t>Total N</t>
    </r>
    <r>
      <rPr>
        <vertAlign val="subscript"/>
        <sz val="12"/>
        <color theme="1"/>
        <rFont val="Arial"/>
        <family val="2"/>
      </rPr>
      <t>2</t>
    </r>
    <r>
      <rPr>
        <sz val="12"/>
        <color theme="1"/>
        <rFont val="Arial"/>
        <family val="2"/>
      </rPr>
      <t>O emissions</t>
    </r>
  </si>
  <si>
    <r>
      <t>Gg CO</t>
    </r>
    <r>
      <rPr>
        <vertAlign val="subscript"/>
        <sz val="12"/>
        <color theme="1"/>
        <rFont val="Arial"/>
        <family val="2"/>
      </rPr>
      <t>2</t>
    </r>
    <r>
      <rPr>
        <sz val="12"/>
        <color theme="1"/>
        <rFont val="Arial"/>
        <family val="2"/>
      </rPr>
      <t>e</t>
    </r>
  </si>
  <si>
    <t>Adoption rate</t>
  </si>
  <si>
    <t>Adoption rate is based on expert judgment. The target adoption rate by year t+5 is 5% and adoption by year t+10 is 25%. Interim estimated adoption rates were calculated with a linear approach.</t>
  </si>
  <si>
    <t>-</t>
  </si>
  <si>
    <t>Adoption rate is based on expert judgment. The target adoption rate by year t+5 is 10% and adoption by year t+10 is 50%. Interim estimated adoption rates were calculated with a linear approach.</t>
  </si>
  <si>
    <t>Adoption rate is based on expert judgment. The target adoption rate by year t+5 is 15% and adoption by year t+10 is 75%. Interim estimated adoption rates were calculated with a linear approach.</t>
  </si>
  <si>
    <r>
      <t>Direct &amp; Indirect N</t>
    </r>
    <r>
      <rPr>
        <b/>
        <vertAlign val="subscript"/>
        <sz val="14"/>
        <color theme="1"/>
        <rFont val="Arial"/>
        <family val="2"/>
      </rPr>
      <t>2</t>
    </r>
    <r>
      <rPr>
        <b/>
        <sz val="14"/>
        <color theme="1"/>
        <rFont val="Arial"/>
        <family val="2"/>
      </rPr>
      <t>O, CO</t>
    </r>
    <r>
      <rPr>
        <b/>
        <vertAlign val="subscript"/>
        <sz val="14"/>
        <color theme="1"/>
        <rFont val="Arial"/>
        <family val="2"/>
      </rPr>
      <t>2</t>
    </r>
  </si>
  <si>
    <r>
      <rPr>
        <i/>
        <sz val="10"/>
        <color theme="1"/>
        <rFont val="Arial"/>
        <family val="2"/>
      </rPr>
      <t>FSN:</t>
    </r>
    <r>
      <rPr>
        <sz val="10"/>
        <color theme="1"/>
        <rFont val="Arial"/>
        <family val="2"/>
      </rPr>
      <t xml:space="preserve"> Synthetic fertilisers applied to soils (kg N/yr)</t>
    </r>
  </si>
  <si>
    <t>Official national agriculture survey or census OR official industry data on exports and sales. Alternatively, use fertilizer use and type data from the International Fertilizer Association (IFA) or FAO data on synthetic fertiliser consumption.</t>
  </si>
  <si>
    <r>
      <rPr>
        <i/>
        <sz val="10"/>
        <color theme="1"/>
        <rFont val="Arial"/>
        <family val="2"/>
      </rPr>
      <t xml:space="preserve">FON: </t>
    </r>
    <r>
      <rPr>
        <sz val="10"/>
        <color theme="1"/>
        <rFont val="Arial"/>
        <family val="2"/>
      </rPr>
      <t xml:space="preserve">Organic fertilisers applied to soils (animal manure, compost, sewage sludge, rendering waste) (kg N/yr) </t>
    </r>
  </si>
  <si>
    <t>Official national agriculture survey or census or expert knowledge providing livestock manure and manure management system data.</t>
  </si>
  <si>
    <r>
      <rPr>
        <i/>
        <sz val="10"/>
        <rFont val="Arial"/>
        <family val="2"/>
      </rPr>
      <t>FPRP</t>
    </r>
    <r>
      <rPr>
        <sz val="10"/>
        <rFont val="Arial"/>
        <family val="2"/>
      </rPr>
      <t xml:space="preserve">: Urine and dung N deposited by grazing animals on pasture, range and paddock (kg N/yr) </t>
    </r>
  </si>
  <si>
    <r>
      <rPr>
        <i/>
        <sz val="10"/>
        <color theme="1"/>
        <rFont val="Arial"/>
        <family val="2"/>
      </rPr>
      <t xml:space="preserve">FAM: </t>
    </r>
    <r>
      <rPr>
        <sz val="10"/>
        <color theme="1"/>
        <rFont val="Arial"/>
        <family val="2"/>
      </rPr>
      <t xml:space="preserve">Amount of animal manure N applied to soils (kg N/yr) </t>
    </r>
  </si>
  <si>
    <t>FON</t>
  </si>
  <si>
    <r>
      <rPr>
        <i/>
        <sz val="10"/>
        <color theme="1"/>
        <rFont val="Arial"/>
        <family val="2"/>
      </rPr>
      <t xml:space="preserve">FSEW: </t>
    </r>
    <r>
      <rPr>
        <sz val="10"/>
        <color theme="1"/>
        <rFont val="Arial"/>
        <family val="2"/>
      </rPr>
      <t>Amount of total sewage N that is applied to soils (kg N/yr)</t>
    </r>
  </si>
  <si>
    <t>Official national agriculture survey or census,expert knowledge</t>
  </si>
  <si>
    <r>
      <rPr>
        <i/>
        <sz val="10"/>
        <color theme="1"/>
        <rFont val="Arial"/>
        <family val="2"/>
      </rPr>
      <t>FCOMP:</t>
    </r>
    <r>
      <rPr>
        <sz val="10"/>
        <color theme="1"/>
        <rFont val="Arial"/>
        <family val="2"/>
      </rPr>
      <t xml:space="preserve"> Amount of total compost N applied to soils (that was not included in animal manure applied to soils) (kg N/yr)</t>
    </r>
  </si>
  <si>
    <r>
      <rPr>
        <i/>
        <sz val="10"/>
        <color theme="1"/>
        <rFont val="Arial"/>
        <family val="2"/>
      </rPr>
      <t>FOOA:</t>
    </r>
    <r>
      <rPr>
        <sz val="10"/>
        <color theme="1"/>
        <rFont val="Arial"/>
        <family val="2"/>
      </rPr>
      <t xml:space="preserve"> Amount of other organic amendments used as fertiliser (e.g., rendering waste, guano, brewery waste, etc.) (kg N/yr)</t>
    </r>
  </si>
  <si>
    <r>
      <rPr>
        <i/>
        <sz val="10"/>
        <color theme="1"/>
        <rFont val="Arial"/>
        <family val="2"/>
      </rPr>
      <t>NMMSabv</t>
    </r>
    <r>
      <rPr>
        <sz val="10"/>
        <color theme="1"/>
        <rFont val="Arial"/>
        <family val="2"/>
      </rPr>
      <t>: Amount of managed manure N available for soil application, feed, fuel or construction (kg N/yr)</t>
    </r>
  </si>
  <si>
    <t>FAM, for FON</t>
  </si>
  <si>
    <t>Official national agriculture survey or census or expert knowledge providing livestock manure and manure management system data. 2019 Refinement, Vol 4, Ch11, Equation 11.5.</t>
  </si>
  <si>
    <t>FPRP</t>
  </si>
  <si>
    <t>2019 Refinement, Vol 4, CH11, Table 11.1 provides default emissions factors for estimating emissions from managed soils.</t>
  </si>
  <si>
    <t>2019 Refinement, Vol 4, CH11, Table 11.1.</t>
  </si>
  <si>
    <t>2019 Refinement, Vol 4, CH11, Table 11.3.</t>
  </si>
  <si>
    <r>
      <rPr>
        <i/>
        <sz val="10"/>
        <rFont val="Arial"/>
        <family val="2"/>
      </rPr>
      <t>FracLEACH-H:</t>
    </r>
    <r>
      <rPr>
        <sz val="10"/>
        <rFont val="Arial"/>
        <family val="2"/>
      </rPr>
      <t xml:space="preserve"> Fraction of all N added to or mineralised in managed soils lost through leaching and runoff, (kg N/kg of N additions or deposition by grazing animals)</t>
    </r>
  </si>
  <si>
    <r>
      <rPr>
        <i/>
        <sz val="10"/>
        <color theme="1"/>
        <rFont val="Arial"/>
        <family val="2"/>
      </rPr>
      <t>M:</t>
    </r>
    <r>
      <rPr>
        <sz val="10"/>
        <color theme="1"/>
        <rFont val="Arial"/>
        <family val="2"/>
      </rPr>
      <t xml:space="preserve"> Annual amount of urea fertilisation (t Urea/yr)</t>
    </r>
  </si>
  <si>
    <t>Tier 1 calculations</t>
  </si>
  <si>
    <r>
      <rPr>
        <i/>
        <sz val="10"/>
        <color theme="1"/>
        <rFont val="Arial"/>
        <family val="2"/>
      </rPr>
      <t>EF (urea)</t>
    </r>
    <r>
      <rPr>
        <sz val="10"/>
        <color theme="1"/>
        <rFont val="Arial"/>
        <family val="2"/>
      </rPr>
      <t xml:space="preserve">: emission factor for urea (tonne C/tonne urea) </t>
    </r>
  </si>
  <si>
    <t>2006 IPCC GL, Vol 4, Ch11, assumed 20% based on carbon content of urea on an atomic weight basis; Note: no updates in the 2019 Refinement</t>
  </si>
  <si>
    <t>44/12</t>
  </si>
  <si>
    <t>Constant</t>
  </si>
  <si>
    <t>44/28</t>
  </si>
  <si>
    <r>
      <rPr>
        <i/>
        <sz val="10"/>
        <rFont val="Arial"/>
        <family val="2"/>
      </rPr>
      <t>NAG</t>
    </r>
    <r>
      <rPr>
        <sz val="10"/>
        <rFont val="Arial"/>
        <family val="2"/>
      </rPr>
      <t>: N content of above-ground residues</t>
    </r>
  </si>
  <si>
    <t>2019 Refinement, Vol 4, Ch 11, Table 11.1A</t>
  </si>
  <si>
    <r>
      <t xml:space="preserve">N content of crop residue, </t>
    </r>
    <r>
      <rPr>
        <i/>
        <sz val="10"/>
        <rFont val="Arial"/>
        <family val="2"/>
      </rPr>
      <t>FCR</t>
    </r>
  </si>
  <si>
    <r>
      <t>N</t>
    </r>
    <r>
      <rPr>
        <vertAlign val="subscript"/>
        <sz val="10"/>
        <rFont val="Arial"/>
        <family val="2"/>
      </rPr>
      <t>2</t>
    </r>
    <r>
      <rPr>
        <sz val="10"/>
        <rFont val="Arial"/>
        <family val="2"/>
      </rPr>
      <t>O</t>
    </r>
  </si>
  <si>
    <r>
      <rPr>
        <i/>
        <sz val="10"/>
        <rFont val="Arial"/>
        <family val="2"/>
      </rPr>
      <t>NBG:</t>
    </r>
    <r>
      <rPr>
        <sz val="10"/>
        <rFont val="Arial"/>
        <family val="2"/>
      </rPr>
      <t xml:space="preserve"> N content of below-ground residues </t>
    </r>
  </si>
  <si>
    <r>
      <rPr>
        <i/>
        <sz val="10"/>
        <rFont val="Arial"/>
        <family val="2"/>
      </rPr>
      <t>DRY:</t>
    </r>
    <r>
      <rPr>
        <sz val="10"/>
        <rFont val="Arial"/>
        <family val="2"/>
      </rPr>
      <t xml:space="preserve"> Dry matter fraction of harvested product</t>
    </r>
  </si>
  <si>
    <t>SOIL CARBON POLICY EMISSION MITIGATION</t>
  </si>
  <si>
    <t>SOC changes per stratum</t>
  </si>
  <si>
    <t>Crop system</t>
  </si>
  <si>
    <t>Management</t>
  </si>
  <si>
    <t>SOC Ref</t>
  </si>
  <si>
    <r>
      <t>F</t>
    </r>
    <r>
      <rPr>
        <b/>
        <vertAlign val="subscript"/>
        <sz val="12"/>
        <color theme="1"/>
        <rFont val="Arial"/>
        <family val="2"/>
      </rPr>
      <t>LU</t>
    </r>
  </si>
  <si>
    <r>
      <t>F</t>
    </r>
    <r>
      <rPr>
        <b/>
        <vertAlign val="subscript"/>
        <sz val="12"/>
        <color theme="1"/>
        <rFont val="Arial"/>
        <family val="2"/>
      </rPr>
      <t>MG</t>
    </r>
  </si>
  <si>
    <r>
      <t>F</t>
    </r>
    <r>
      <rPr>
        <b/>
        <vertAlign val="subscript"/>
        <sz val="12"/>
        <color theme="1"/>
        <rFont val="Arial"/>
        <family val="2"/>
      </rPr>
      <t>I</t>
    </r>
  </si>
  <si>
    <r>
      <t>SOC</t>
    </r>
    <r>
      <rPr>
        <b/>
        <vertAlign val="subscript"/>
        <sz val="12"/>
        <color theme="1"/>
        <rFont val="Arial"/>
        <family val="2"/>
      </rPr>
      <t>C,S,i</t>
    </r>
  </si>
  <si>
    <t>(t C/ha)</t>
  </si>
  <si>
    <t>(dimensionless)</t>
  </si>
  <si>
    <t>Full till</t>
  </si>
  <si>
    <t>Reduced till</t>
  </si>
  <si>
    <t>No-till</t>
  </si>
  <si>
    <t>Fraction of area under each system</t>
  </si>
  <si>
    <t>t-20</t>
  </si>
  <si>
    <t>t-19</t>
  </si>
  <si>
    <t>t-18</t>
  </si>
  <si>
    <t>t-17</t>
  </si>
  <si>
    <t>t-16</t>
  </si>
  <si>
    <t>t-15</t>
  </si>
  <si>
    <t>t-14</t>
  </si>
  <si>
    <t>t-13</t>
  </si>
  <si>
    <t>t-12</t>
  </si>
  <si>
    <t>t-11</t>
  </si>
  <si>
    <t>t-10</t>
  </si>
  <si>
    <t>t-9</t>
  </si>
  <si>
    <t>t-8</t>
  </si>
  <si>
    <t>t-7</t>
  </si>
  <si>
    <t>t-6</t>
  </si>
  <si>
    <t>t-5</t>
  </si>
  <si>
    <t>t-4</t>
  </si>
  <si>
    <t>t-3</t>
  </si>
  <si>
    <t>t-2</t>
  </si>
  <si>
    <t>t-1</t>
  </si>
  <si>
    <t>t+11</t>
  </si>
  <si>
    <t>t+12</t>
  </si>
  <si>
    <t>t+13</t>
  </si>
  <si>
    <t>t+14</t>
  </si>
  <si>
    <t>t+15</t>
  </si>
  <si>
    <t>t+16</t>
  </si>
  <si>
    <t>t+17</t>
  </si>
  <si>
    <t>t+18</t>
  </si>
  <si>
    <t>t+19</t>
  </si>
  <si>
    <t>t+20</t>
  </si>
  <si>
    <t>Soil</t>
  </si>
  <si>
    <t>Total area (ha)</t>
  </si>
  <si>
    <t>Management type</t>
  </si>
  <si>
    <t>All crop rotations start out as 100% full-till.</t>
  </si>
  <si>
    <t>For all crop rotations, 5% of area moves to reduced-till, 5% of area moves to no-till by time t, 10% of area movest to reduced-till, 10% of area moves to no-till by time t+20</t>
  </si>
  <si>
    <t>Trasition is linear</t>
  </si>
  <si>
    <t>Final SOC (t C)</t>
  </si>
  <si>
    <t>Total SOC (t C)</t>
  </si>
  <si>
    <t>Initial SOC (t C)</t>
  </si>
  <si>
    <t>t C</t>
  </si>
  <si>
    <t>WAM</t>
  </si>
  <si>
    <t>All crop rotations start out as 100% full-till</t>
  </si>
  <si>
    <t>By time t, different crops reach different levels of convertion to reduced-till and no-till (some remain at 100% full till) as reported by activity data</t>
  </si>
  <si>
    <t>Transition is linear</t>
  </si>
  <si>
    <t xml:space="preserve">By time t+20, 25% of area movest to reduced-till, 50% of area moves to no-till </t>
  </si>
  <si>
    <t>Tier 1</t>
  </si>
  <si>
    <t>Carbon Stocks</t>
  </si>
  <si>
    <t>Carbon pool</t>
  </si>
  <si>
    <r>
      <rPr>
        <i/>
        <sz val="10"/>
        <color theme="1"/>
        <rFont val="Arial"/>
        <family val="2"/>
      </rPr>
      <t>Land categorization by land use:</t>
    </r>
    <r>
      <rPr>
        <sz val="10"/>
        <color theme="1"/>
        <rFont val="Arial"/>
        <family val="2"/>
      </rPr>
      <t xml:space="preserve"> forest land, cropland, grassland, wetland, settlements</t>
    </r>
  </si>
  <si>
    <t>Agriculture census
Soil surveys
IPCC 2019 Refinement, Vol 4, Ch 3, Box 3.1A</t>
  </si>
  <si>
    <t>NA - Categorisation, changes in carbon stocks are calculated for each land use category; focus of this guide is on cropland</t>
  </si>
  <si>
    <t>Once; may be updated in conjunction with collecting data on the area of land in each category if land use change occurs</t>
  </si>
  <si>
    <t>All</t>
  </si>
  <si>
    <r>
      <rPr>
        <i/>
        <sz val="10"/>
        <color theme="1"/>
        <rFont val="Arial"/>
        <family val="2"/>
      </rPr>
      <t xml:space="preserve">c, s, i: </t>
    </r>
    <r>
      <rPr>
        <sz val="10"/>
        <color theme="1"/>
        <rFont val="Arial"/>
        <family val="2"/>
      </rPr>
      <t>Land stratification by climate zone (</t>
    </r>
    <r>
      <rPr>
        <i/>
        <sz val="10"/>
        <color theme="1"/>
        <rFont val="Arial"/>
        <family val="2"/>
      </rPr>
      <t>c</t>
    </r>
    <r>
      <rPr>
        <sz val="10"/>
        <color theme="1"/>
        <rFont val="Arial"/>
        <family val="2"/>
      </rPr>
      <t>), soil type (</t>
    </r>
    <r>
      <rPr>
        <i/>
        <sz val="10"/>
        <color theme="1"/>
        <rFont val="Arial"/>
        <family val="2"/>
      </rPr>
      <t>s</t>
    </r>
    <r>
      <rPr>
        <sz val="10"/>
        <color theme="1"/>
        <rFont val="Arial"/>
        <family val="2"/>
      </rPr>
      <t>), management system (</t>
    </r>
    <r>
      <rPr>
        <i/>
        <sz val="10"/>
        <color theme="1"/>
        <rFont val="Arial"/>
        <family val="2"/>
      </rPr>
      <t>i</t>
    </r>
    <r>
      <rPr>
        <sz val="10"/>
        <color theme="1"/>
        <rFont val="Arial"/>
        <family val="2"/>
      </rPr>
      <t>) (unitless)</t>
    </r>
  </si>
  <si>
    <t>Agriculture census
Soil surveys
2019 Refinement, Vol 4, Ch 3, Figure 3A.5.1, Table 3.1</t>
  </si>
  <si>
    <r>
      <t xml:space="preserve">NA - Categorisation, changes in carbon stock are calculated for each stratum; needed to determine values for </t>
    </r>
    <r>
      <rPr>
        <i/>
        <sz val="10"/>
        <rFont val="Arial"/>
        <family val="2"/>
      </rPr>
      <t>Flu/Fmg/Fi</t>
    </r>
    <r>
      <rPr>
        <sz val="10"/>
        <rFont val="Arial"/>
        <family val="2"/>
      </rPr>
      <t xml:space="preserve"> </t>
    </r>
  </si>
  <si>
    <t>Once; may be updated in conjunction with collecting data on the area of land in each stratum (see Area parameter)</t>
  </si>
  <si>
    <r>
      <rPr>
        <i/>
        <sz val="10"/>
        <color theme="1"/>
        <rFont val="Arial"/>
        <family val="2"/>
      </rPr>
      <t>Land management method</t>
    </r>
    <r>
      <rPr>
        <sz val="10"/>
        <color theme="1"/>
        <rFont val="Arial"/>
        <family val="2"/>
      </rPr>
      <t>: residue management, tillage regime, inputs, irrigation/hydrology, cropping rotations, grazing intensity management, soil regeneration practices, etc. (unitless)</t>
    </r>
  </si>
  <si>
    <t>Agriculture census</t>
  </si>
  <si>
    <t>NA - Activity data; needed to determine land management system for a given land stratum</t>
  </si>
  <si>
    <t>At least twice, at the beginning and end of policy implementation period, per stratum type</t>
  </si>
  <si>
    <r>
      <rPr>
        <i/>
        <sz val="10"/>
        <color theme="1"/>
        <rFont val="Arial"/>
        <family val="2"/>
      </rPr>
      <t>Vegetation type</t>
    </r>
    <r>
      <rPr>
        <sz val="10"/>
        <color theme="1"/>
        <rFont val="Arial"/>
        <family val="2"/>
      </rPr>
      <t>: annual, perennial (unitless)</t>
    </r>
  </si>
  <si>
    <t>Agriculture census; 2019 Refinement, Vol 4, Ch 3, Table 3A.1.1 (a list of available international land cover datasets)</t>
  </si>
  <si>
    <r>
      <t xml:space="preserve">NA - Classification; needed to determine which carbon pools need to be included in </t>
    </r>
    <r>
      <rPr>
        <i/>
        <sz val="10"/>
        <rFont val="Arial"/>
        <family val="2"/>
      </rPr>
      <t>dC_LUi</t>
    </r>
  </si>
  <si>
    <r>
      <rPr>
        <i/>
        <sz val="10"/>
        <color theme="1"/>
        <rFont val="Arial"/>
        <family val="2"/>
      </rPr>
      <t>A</t>
    </r>
    <r>
      <rPr>
        <sz val="10"/>
        <color theme="1"/>
        <rFont val="Arial"/>
        <family val="2"/>
      </rPr>
      <t>: Area of land in each category and stratum (ha)</t>
    </r>
  </si>
  <si>
    <t>SOC_mineral, dC_Mineral</t>
  </si>
  <si>
    <t>At least twice, at beginning and end of policy implementation period.
Or, periodically during the policy implementation period.</t>
  </si>
  <si>
    <r>
      <rPr>
        <i/>
        <sz val="10"/>
        <color theme="1"/>
        <rFont val="Arial"/>
        <family val="2"/>
      </rPr>
      <t>D</t>
    </r>
    <r>
      <rPr>
        <sz val="10"/>
        <color theme="1"/>
        <rFont val="Arial"/>
        <family val="2"/>
      </rPr>
      <t>: Time dependence of mineral soil organic C stock change factors which is the default time period for transition between equilibrium SOC values (yr)</t>
    </r>
  </si>
  <si>
    <t>Commonly 20 years, but depends on assumptions made in computing emission factors, Flu/Fmg/Fi</t>
  </si>
  <si>
    <t>dC_Mineral</t>
  </si>
  <si>
    <t>Soil, mineral</t>
  </si>
  <si>
    <r>
      <rPr>
        <i/>
        <sz val="10"/>
        <color theme="1"/>
        <rFont val="Arial"/>
        <family val="2"/>
      </rPr>
      <t>T</t>
    </r>
    <r>
      <rPr>
        <sz val="10"/>
        <color theme="1"/>
        <rFont val="Arial"/>
        <family val="2"/>
      </rPr>
      <t>: Number of years over a single inventory period (or policy implementation period);  
If T exceeds D, use the value for T to obtain an annual rate of change over the inventory time period (0-T years)</t>
    </r>
  </si>
  <si>
    <t>Information from policy makers on policy implementation timeline</t>
  </si>
  <si>
    <r>
      <rPr>
        <i/>
        <sz val="10"/>
        <rFont val="Arial"/>
        <family val="2"/>
      </rPr>
      <t xml:space="preserve">dC_Mineral: </t>
    </r>
    <r>
      <rPr>
        <sz val="10"/>
        <rFont val="Arial"/>
        <family val="2"/>
      </rPr>
      <t>Annual change in organic carbon stocks in mineral soils (tonnes C/yr)</t>
    </r>
  </si>
  <si>
    <t>2019 Refinement, Vol 4, Ch 2,  Eq. 2.25</t>
  </si>
  <si>
    <t>dC_SO</t>
  </si>
  <si>
    <t>Once, per stratum type</t>
  </si>
  <si>
    <t>2019 Refinement, Vol 4, Ch 2,  Eq. 2.3</t>
  </si>
  <si>
    <t>Annual carbon stock change for a stratum of a land-use category</t>
  </si>
  <si>
    <t>Once, per stratum type, per land use category</t>
  </si>
  <si>
    <r>
      <rPr>
        <i/>
        <sz val="10"/>
        <rFont val="Arial"/>
        <family val="2"/>
      </rPr>
      <t xml:space="preserve">dC_AB: </t>
    </r>
    <r>
      <rPr>
        <sz val="10"/>
        <rFont val="Arial"/>
        <family val="2"/>
      </rPr>
      <t>Annual change in above-ground biomass carbon pool, needed for estimating change in carbon pools in perennial cropland remaining cropland (tonnes C/yr)</t>
    </r>
  </si>
  <si>
    <t>Biomass</t>
  </si>
  <si>
    <r>
      <rPr>
        <i/>
        <sz val="10"/>
        <color theme="1"/>
        <rFont val="Arial"/>
        <family val="2"/>
      </rPr>
      <t>SOCref:</t>
    </r>
    <r>
      <rPr>
        <sz val="10"/>
        <color theme="1"/>
        <rFont val="Arial"/>
        <family val="2"/>
      </rPr>
      <t xml:space="preserve"> Reference soil carbon stock (tonnes C/ha)</t>
    </r>
  </si>
  <si>
    <t>2019 Refinement, Vol 4, Ch 2, Table 2.3</t>
  </si>
  <si>
    <t>2019 Refinement, Vol 4, Ch 5, Table 5.5 (Cropland);  2019 Refinement, Vol 4, Ch 6, Table 6.2 (Grassland); IPCC 2013 Wetland supplement Chap. 5, Table 5.3 (Cropland on Inland Wetland Mineral Soils)</t>
  </si>
  <si>
    <t>Once, per stratum type and management regime</t>
  </si>
  <si>
    <r>
      <rPr>
        <i/>
        <sz val="10"/>
        <color theme="1"/>
        <rFont val="Arial"/>
        <family val="2"/>
      </rPr>
      <t>B</t>
    </r>
    <r>
      <rPr>
        <sz val="10"/>
        <color theme="1"/>
        <rFont val="Arial"/>
        <family val="2"/>
      </rPr>
      <t>: Biomass C stocks, peak above-ground and total non-woody (tonnes d.m./ha)</t>
    </r>
  </si>
  <si>
    <t>IPCC 2006 GL, Vol 4, Chap 6, Table 6.4
IPCC 2006 GL, Vol 4, Chap 2, Eq 2.16</t>
  </si>
  <si>
    <t>dC_conversion, change in biomass carbon stock for land conversion</t>
  </si>
  <si>
    <t>Once, for the year that the land was converted</t>
  </si>
  <si>
    <r>
      <rPr>
        <i/>
        <sz val="10"/>
        <rFont val="Arial"/>
        <family val="2"/>
      </rPr>
      <t>Biomass growth parameters:</t>
    </r>
    <r>
      <rPr>
        <sz val="10"/>
        <rFont val="Arial"/>
        <family val="2"/>
      </rPr>
      <t xml:space="preserve">
carbon stocks (tonnes C/ha)
carbon stock accumulation rates (tonnes C/ha/yr)
biomass carbon loss (tonnes C/ha/yr)
tree density (stems/ha)
maturity cycle (yr)</t>
    </r>
  </si>
  <si>
    <t>2019 Refinement, Vol 4, Ch 5, Table 5.1/5.2 for agroforestry systems with perennial systems, Table 5.3 for perennial cropland monocultures
IPCC 2006 GL, Vol 4, Chap 2, Eq 2.7, Eq 2.9</t>
  </si>
  <si>
    <t>dC_gain, annual increase in biomass carbon stocks due to biomass increment in land remaining in the same land-use catergory, e.g. agroforestry</t>
  </si>
  <si>
    <t>Once, per system type</t>
  </si>
  <si>
    <r>
      <rPr>
        <i/>
        <sz val="10"/>
        <color theme="1"/>
        <rFont val="Arial"/>
        <family val="2"/>
      </rPr>
      <t>CF:</t>
    </r>
    <r>
      <rPr>
        <sz val="10"/>
        <color theme="1"/>
        <rFont val="Arial"/>
        <family val="2"/>
      </rPr>
      <t xml:space="preserve"> Carbon fraction of dry matter (tonne C/tonnes d.m.)</t>
    </r>
  </si>
  <si>
    <t>IPCC 2006 GL, Vol 4, Ch 6; 0.50 tonne C/tonne d.m. for woody biomass, 0.47 tonne C/tonne d.m. for herbaceous biomass, 0.37 tonne C/tonne d.m. for litter</t>
  </si>
  <si>
    <t>Change in biomass carbon stock</t>
  </si>
  <si>
    <r>
      <t>RICE POLICY CH</t>
    </r>
    <r>
      <rPr>
        <b/>
        <vertAlign val="subscript"/>
        <sz val="16"/>
        <color theme="1"/>
        <rFont val="Arial"/>
        <family val="2"/>
      </rPr>
      <t>4</t>
    </r>
    <r>
      <rPr>
        <b/>
        <sz val="16"/>
        <color theme="1"/>
        <rFont val="Arial"/>
        <family val="2"/>
      </rPr>
      <t xml:space="preserve"> EMISSION MITIGATION</t>
    </r>
  </si>
  <si>
    <t>Rice system parameters</t>
  </si>
  <si>
    <t>Yield</t>
  </si>
  <si>
    <t>kg/ha</t>
  </si>
  <si>
    <t>Cultivation period</t>
  </si>
  <si>
    <t>days</t>
  </si>
  <si>
    <r>
      <t xml:space="preserve">Number of seasons, </t>
    </r>
    <r>
      <rPr>
        <i/>
        <sz val="12"/>
        <color theme="1"/>
        <rFont val="Arial"/>
        <family val="2"/>
      </rPr>
      <t>s</t>
    </r>
  </si>
  <si>
    <r>
      <t xml:space="preserve">Rice cultivation area, </t>
    </r>
    <r>
      <rPr>
        <i/>
        <sz val="12"/>
        <color theme="1"/>
        <rFont val="Arial"/>
        <family val="2"/>
      </rPr>
      <t>A</t>
    </r>
    <r>
      <rPr>
        <i/>
        <vertAlign val="subscript"/>
        <sz val="12"/>
        <color theme="1"/>
        <rFont val="Arial"/>
        <family val="2"/>
      </rPr>
      <t>r</t>
    </r>
  </si>
  <si>
    <t>ha</t>
  </si>
  <si>
    <r>
      <t xml:space="preserve">Harvested area, </t>
    </r>
    <r>
      <rPr>
        <i/>
        <sz val="12"/>
        <color theme="1"/>
        <rFont val="Arial"/>
        <family val="2"/>
      </rPr>
      <t>A</t>
    </r>
    <r>
      <rPr>
        <sz val="12"/>
        <color theme="1"/>
        <rFont val="Arial"/>
        <family val="2"/>
      </rPr>
      <t xml:space="preserve"> (</t>
    </r>
    <r>
      <rPr>
        <i/>
        <sz val="12"/>
        <color theme="1"/>
        <rFont val="Arial"/>
        <family val="2"/>
      </rPr>
      <t>A</t>
    </r>
    <r>
      <rPr>
        <i/>
        <vertAlign val="subscript"/>
        <sz val="12"/>
        <color theme="1"/>
        <rFont val="Arial"/>
        <family val="2"/>
      </rPr>
      <t>r</t>
    </r>
    <r>
      <rPr>
        <i/>
        <sz val="12"/>
        <color theme="1"/>
        <rFont val="Arial"/>
        <family val="2"/>
      </rPr>
      <t xml:space="preserve"> x s</t>
    </r>
    <r>
      <rPr>
        <sz val="12"/>
        <color theme="1"/>
        <rFont val="Arial"/>
        <family val="2"/>
      </rPr>
      <t>)</t>
    </r>
  </si>
  <si>
    <r>
      <t xml:space="preserve">N application rate for synthetic fertilizer, </t>
    </r>
    <r>
      <rPr>
        <i/>
        <sz val="12"/>
        <color theme="1"/>
        <rFont val="Arial"/>
        <family val="2"/>
      </rPr>
      <t>R</t>
    </r>
  </si>
  <si>
    <r>
      <t xml:space="preserve">Application rate of organic amendments, </t>
    </r>
    <r>
      <rPr>
        <i/>
        <sz val="12"/>
        <color theme="1"/>
        <rFont val="Arial"/>
        <family val="2"/>
      </rPr>
      <t>ROA</t>
    </r>
    <r>
      <rPr>
        <sz val="12"/>
        <color theme="1"/>
        <rFont val="Arial"/>
        <family val="2"/>
      </rPr>
      <t xml:space="preserve"> </t>
    </r>
    <r>
      <rPr>
        <sz val="10"/>
        <color theme="1"/>
        <rFont val="Arial"/>
        <family val="2"/>
      </rPr>
      <t>(crop residue is burnt, and not other amendments are applied)</t>
    </r>
  </si>
  <si>
    <t>kg d.m./ha</t>
  </si>
  <si>
    <r>
      <t>Frac</t>
    </r>
    <r>
      <rPr>
        <i/>
        <vertAlign val="subscript"/>
        <sz val="12"/>
        <color theme="1"/>
        <rFont val="Arial"/>
        <family val="2"/>
      </rPr>
      <t>Burnt</t>
    </r>
  </si>
  <si>
    <r>
      <t>Frac</t>
    </r>
    <r>
      <rPr>
        <i/>
        <vertAlign val="subscript"/>
        <sz val="12"/>
        <color theme="1"/>
        <rFont val="Arial"/>
        <family val="2"/>
      </rPr>
      <t>Remove</t>
    </r>
  </si>
  <si>
    <r>
      <t>Frac</t>
    </r>
    <r>
      <rPr>
        <i/>
        <vertAlign val="subscript"/>
        <sz val="12"/>
        <color theme="1"/>
        <rFont val="Arial"/>
        <family val="2"/>
      </rPr>
      <t>Renew</t>
    </r>
  </si>
  <si>
    <r>
      <t>CH</t>
    </r>
    <r>
      <rPr>
        <b/>
        <vertAlign val="subscript"/>
        <sz val="12"/>
        <color rgb="FF000000"/>
        <rFont val="Arial"/>
        <family val="2"/>
      </rPr>
      <t>4</t>
    </r>
    <r>
      <rPr>
        <b/>
        <sz val="12"/>
        <color rgb="FF000000"/>
        <rFont val="Arial"/>
        <family val="2"/>
      </rPr>
      <t xml:space="preserve"> emissions parameters</t>
    </r>
  </si>
  <si>
    <r>
      <t xml:space="preserve">Baseline emission factor, </t>
    </r>
    <r>
      <rPr>
        <i/>
        <sz val="12"/>
        <color theme="1"/>
        <rFont val="Arial"/>
        <family val="2"/>
      </rPr>
      <t>EF</t>
    </r>
    <r>
      <rPr>
        <i/>
        <vertAlign val="subscript"/>
        <sz val="12"/>
        <color theme="1"/>
        <rFont val="Arial"/>
        <family val="2"/>
      </rPr>
      <t>c</t>
    </r>
  </si>
  <si>
    <r>
      <t>kg CH</t>
    </r>
    <r>
      <rPr>
        <vertAlign val="subscript"/>
        <sz val="12"/>
        <color theme="1"/>
        <rFont val="Arial"/>
        <family val="2"/>
      </rPr>
      <t>4</t>
    </r>
    <r>
      <rPr>
        <sz val="12"/>
        <color theme="1"/>
        <rFont val="Arial"/>
        <family val="2"/>
      </rPr>
      <t>/ha/yr</t>
    </r>
  </si>
  <si>
    <r>
      <t xml:space="preserve">Adjested baseline emission factor for policy scenario, </t>
    </r>
    <r>
      <rPr>
        <i/>
        <sz val="12"/>
        <color theme="1"/>
        <rFont val="Arial"/>
        <family val="2"/>
      </rPr>
      <t>EF</t>
    </r>
    <r>
      <rPr>
        <i/>
        <vertAlign val="subscript"/>
        <sz val="12"/>
        <color theme="1"/>
        <rFont val="Arial"/>
        <family val="2"/>
      </rPr>
      <t>c</t>
    </r>
    <r>
      <rPr>
        <i/>
        <sz val="12"/>
        <color theme="1"/>
        <rFont val="Arial"/>
        <family val="2"/>
      </rPr>
      <t>.</t>
    </r>
    <r>
      <rPr>
        <sz val="12"/>
        <color theme="1"/>
        <rFont val="Arial"/>
        <family val="2"/>
      </rPr>
      <t xml:space="preserve"> Adjusted down by 80 percent to account for reductions expected from adopting DDS.</t>
    </r>
  </si>
  <si>
    <r>
      <rPr>
        <i/>
        <sz val="12"/>
        <color theme="1"/>
        <rFont val="Arial"/>
        <family val="2"/>
      </rPr>
      <t>SF</t>
    </r>
    <r>
      <rPr>
        <i/>
        <vertAlign val="subscript"/>
        <sz val="12"/>
        <color theme="1"/>
        <rFont val="Arial"/>
        <family val="2"/>
      </rPr>
      <t>w</t>
    </r>
    <r>
      <rPr>
        <sz val="12"/>
        <color theme="1"/>
        <rFont val="Arial"/>
        <family val="2"/>
      </rPr>
      <t>, continuously flooded</t>
    </r>
  </si>
  <si>
    <t>unitless</t>
  </si>
  <si>
    <r>
      <rPr>
        <i/>
        <sz val="12"/>
        <color theme="1"/>
        <rFont val="Arial"/>
        <family val="2"/>
      </rPr>
      <t>SF</t>
    </r>
    <r>
      <rPr>
        <i/>
        <vertAlign val="subscript"/>
        <sz val="12"/>
        <color theme="1"/>
        <rFont val="Arial"/>
        <family val="2"/>
      </rPr>
      <t>w</t>
    </r>
    <r>
      <rPr>
        <i/>
        <sz val="12"/>
        <color theme="1"/>
        <rFont val="Arial"/>
        <family val="2"/>
      </rPr>
      <t>,</t>
    </r>
    <r>
      <rPr>
        <sz val="12"/>
        <color theme="1"/>
        <rFont val="Arial"/>
        <family val="2"/>
      </rPr>
      <t xml:space="preserve"> multiple drainage periods</t>
    </r>
  </si>
  <si>
    <r>
      <rPr>
        <i/>
        <sz val="12"/>
        <color theme="1"/>
        <rFont val="Arial"/>
        <family val="2"/>
      </rPr>
      <t>SF</t>
    </r>
    <r>
      <rPr>
        <i/>
        <vertAlign val="subscript"/>
        <sz val="12"/>
        <color theme="1"/>
        <rFont val="Arial"/>
        <family val="2"/>
      </rPr>
      <t>p</t>
    </r>
    <r>
      <rPr>
        <sz val="12"/>
        <color theme="1"/>
        <rFont val="Arial"/>
        <family val="2"/>
      </rPr>
      <t>,</t>
    </r>
    <r>
      <rPr>
        <sz val="12"/>
        <color rgb="FFFF0000"/>
        <rFont val="Arial"/>
        <family val="2"/>
      </rPr>
      <t xml:space="preserve"> </t>
    </r>
    <r>
      <rPr>
        <sz val="12"/>
        <rFont val="Arial"/>
        <family val="2"/>
      </rPr>
      <t>non-flooded &lt;180 days</t>
    </r>
  </si>
  <si>
    <t>CFOA</t>
  </si>
  <si>
    <r>
      <rPr>
        <i/>
        <sz val="12"/>
        <color theme="1"/>
        <rFont val="Arial"/>
        <family val="2"/>
      </rPr>
      <t>SF</t>
    </r>
    <r>
      <rPr>
        <i/>
        <vertAlign val="subscript"/>
        <sz val="12"/>
        <color theme="1"/>
        <rFont val="Arial"/>
        <family val="2"/>
      </rPr>
      <t>O</t>
    </r>
    <r>
      <rPr>
        <sz val="12"/>
        <color theme="1"/>
        <rFont val="Arial"/>
        <family val="2"/>
      </rPr>
      <t>, organic amendments</t>
    </r>
  </si>
  <si>
    <r>
      <t>N</t>
    </r>
    <r>
      <rPr>
        <b/>
        <vertAlign val="subscript"/>
        <sz val="12"/>
        <color rgb="FF000000"/>
        <rFont val="Arial"/>
        <family val="2"/>
      </rPr>
      <t>2</t>
    </r>
    <r>
      <rPr>
        <b/>
        <sz val="12"/>
        <color rgb="FF000000"/>
        <rFont val="Arial"/>
        <family val="2"/>
      </rPr>
      <t>O emission parameters</t>
    </r>
  </si>
  <si>
    <t>Biomass parameters</t>
  </si>
  <si>
    <r>
      <t xml:space="preserve">Flooded rice emission factor, </t>
    </r>
    <r>
      <rPr>
        <i/>
        <sz val="12"/>
        <color theme="1"/>
        <rFont val="Arial"/>
        <family val="2"/>
      </rPr>
      <t>EF</t>
    </r>
    <r>
      <rPr>
        <i/>
        <vertAlign val="subscript"/>
        <sz val="12"/>
        <color theme="1"/>
        <rFont val="Arial"/>
        <family val="2"/>
      </rPr>
      <t>1fr</t>
    </r>
    <r>
      <rPr>
        <sz val="12"/>
        <color theme="1"/>
        <rFont val="Arial"/>
        <family val="2"/>
      </rPr>
      <t>, cont flooded</t>
    </r>
  </si>
  <si>
    <r>
      <t>kg N</t>
    </r>
    <r>
      <rPr>
        <vertAlign val="subscript"/>
        <sz val="12"/>
        <color theme="1"/>
        <rFont val="Arial"/>
        <family val="2"/>
      </rPr>
      <t>2</t>
    </r>
    <r>
      <rPr>
        <sz val="12"/>
        <color theme="1"/>
        <rFont val="Arial"/>
        <family val="2"/>
      </rPr>
      <t>0-N/kg N</t>
    </r>
  </si>
  <si>
    <t>Crop</t>
  </si>
  <si>
    <r>
      <t xml:space="preserve">Flooded rice emission factor, </t>
    </r>
    <r>
      <rPr>
        <i/>
        <sz val="12"/>
        <color theme="1"/>
        <rFont val="Arial"/>
        <family val="2"/>
      </rPr>
      <t>EF</t>
    </r>
    <r>
      <rPr>
        <i/>
        <vertAlign val="subscript"/>
        <sz val="12"/>
        <color theme="1"/>
        <rFont val="Arial"/>
        <family val="2"/>
      </rPr>
      <t>1fr</t>
    </r>
    <r>
      <rPr>
        <sz val="12"/>
        <color theme="1"/>
        <rFont val="Arial"/>
        <family val="2"/>
      </rPr>
      <t>, single/multiple drainage</t>
    </r>
  </si>
  <si>
    <r>
      <t>A</t>
    </r>
    <r>
      <rPr>
        <i/>
        <vertAlign val="subscript"/>
        <sz val="12"/>
        <color theme="1"/>
        <rFont val="Arial"/>
        <family val="2"/>
      </rPr>
      <t>G</t>
    </r>
  </si>
  <si>
    <r>
      <rPr>
        <i/>
        <sz val="12"/>
        <color theme="1"/>
        <rFont val="Arial"/>
        <family val="2"/>
      </rPr>
      <t>F</t>
    </r>
    <r>
      <rPr>
        <i/>
        <vertAlign val="subscript"/>
        <sz val="12"/>
        <color theme="1"/>
        <rFont val="Arial"/>
        <family val="2"/>
      </rPr>
      <t>SN</t>
    </r>
    <r>
      <rPr>
        <sz val="12"/>
        <color theme="1"/>
        <rFont val="Arial"/>
        <family val="2"/>
      </rPr>
      <t>, annual amount of synthetic fertilizer N applied to soils</t>
    </r>
  </si>
  <si>
    <r>
      <t>A</t>
    </r>
    <r>
      <rPr>
        <i/>
        <vertAlign val="subscript"/>
        <sz val="12"/>
        <color theme="1"/>
        <rFont val="Arial"/>
        <family val="2"/>
      </rPr>
      <t>GR</t>
    </r>
  </si>
  <si>
    <r>
      <rPr>
        <i/>
        <sz val="12"/>
        <color theme="1"/>
        <rFont val="Arial"/>
        <family val="2"/>
      </rPr>
      <t>F</t>
    </r>
    <r>
      <rPr>
        <i/>
        <vertAlign val="subscript"/>
        <sz val="12"/>
        <color theme="1"/>
        <rFont val="Arial"/>
        <family val="2"/>
      </rPr>
      <t>ON</t>
    </r>
    <r>
      <rPr>
        <sz val="12"/>
        <color theme="1"/>
        <rFont val="Arial"/>
        <family val="2"/>
      </rPr>
      <t>, annual amount of organic fertilizer N applied to soils</t>
    </r>
  </si>
  <si>
    <r>
      <t>B</t>
    </r>
    <r>
      <rPr>
        <i/>
        <vertAlign val="subscript"/>
        <sz val="12"/>
        <color theme="1"/>
        <rFont val="Arial"/>
        <family val="2"/>
      </rPr>
      <t>GR</t>
    </r>
  </si>
  <si>
    <r>
      <rPr>
        <i/>
        <sz val="12"/>
        <color theme="1"/>
        <rFont val="Arial"/>
        <family val="2"/>
      </rPr>
      <t>F</t>
    </r>
    <r>
      <rPr>
        <i/>
        <vertAlign val="subscript"/>
        <sz val="12"/>
        <color theme="1"/>
        <rFont val="Arial"/>
        <family val="2"/>
      </rPr>
      <t>CR</t>
    </r>
    <r>
      <rPr>
        <sz val="12"/>
        <color theme="1"/>
        <rFont val="Arial"/>
        <family val="2"/>
      </rPr>
      <t>, annual amount of N in crop residues</t>
    </r>
  </si>
  <si>
    <r>
      <rPr>
        <i/>
        <sz val="12"/>
        <color theme="1"/>
        <rFont val="Arial"/>
        <family val="2"/>
      </rPr>
      <t>F</t>
    </r>
    <r>
      <rPr>
        <i/>
        <vertAlign val="subscript"/>
        <sz val="12"/>
        <color theme="1"/>
        <rFont val="Arial"/>
        <family val="2"/>
      </rPr>
      <t>SOM</t>
    </r>
    <r>
      <rPr>
        <sz val="12"/>
        <color theme="1"/>
        <rFont val="Arial"/>
        <family val="2"/>
      </rPr>
      <t>, annual amount of N in mineral soils that is mineralized (if soil C is lost)</t>
    </r>
  </si>
  <si>
    <r>
      <rPr>
        <i/>
        <sz val="12"/>
        <color theme="1"/>
        <rFont val="Arial"/>
        <family val="2"/>
      </rPr>
      <t>C</t>
    </r>
    <r>
      <rPr>
        <i/>
        <vertAlign val="subscript"/>
        <sz val="12"/>
        <color theme="1"/>
        <rFont val="Arial"/>
        <family val="2"/>
      </rPr>
      <t>f</t>
    </r>
    <r>
      <rPr>
        <i/>
        <sz val="12"/>
        <color theme="1"/>
        <rFont val="Arial"/>
        <family val="2"/>
      </rPr>
      <t xml:space="preserve">, </t>
    </r>
    <r>
      <rPr>
        <sz val="12"/>
        <color theme="1"/>
        <rFont val="Arial"/>
        <family val="2"/>
      </rPr>
      <t>combustion factor</t>
    </r>
  </si>
  <si>
    <t>DRY</t>
  </si>
  <si>
    <t>(kg d.m./kg fresh weight)</t>
  </si>
  <si>
    <r>
      <t>N</t>
    </r>
    <r>
      <rPr>
        <i/>
        <vertAlign val="subscript"/>
        <sz val="12"/>
        <color theme="1"/>
        <rFont val="Arial"/>
        <family val="2"/>
      </rPr>
      <t>AG</t>
    </r>
  </si>
  <si>
    <t>kg N/kg d.m.</t>
  </si>
  <si>
    <r>
      <t>N</t>
    </r>
    <r>
      <rPr>
        <i/>
        <vertAlign val="subscript"/>
        <sz val="12"/>
        <color theme="1"/>
        <rFont val="Arial"/>
        <family val="2"/>
      </rPr>
      <t>BG</t>
    </r>
  </si>
  <si>
    <r>
      <t>R</t>
    </r>
    <r>
      <rPr>
        <i/>
        <vertAlign val="subscript"/>
        <sz val="12"/>
        <color theme="1"/>
        <rFont val="Arial"/>
        <family val="2"/>
      </rPr>
      <t>AG</t>
    </r>
  </si>
  <si>
    <t>(kg d.m./ha)/(kg d.m./ha)</t>
  </si>
  <si>
    <t>RS</t>
  </si>
  <si>
    <t>Notes</t>
  </si>
  <si>
    <r>
      <t>CH</t>
    </r>
    <r>
      <rPr>
        <vertAlign val="subscript"/>
        <sz val="12"/>
        <color theme="1"/>
        <rFont val="Arial"/>
        <family val="2"/>
      </rPr>
      <t>4</t>
    </r>
    <r>
      <rPr>
        <sz val="12"/>
        <color theme="1"/>
        <rFont val="Arial"/>
        <family val="2"/>
      </rPr>
      <t xml:space="preserve"> Emissions</t>
    </r>
  </si>
  <si>
    <t>Harvested area</t>
  </si>
  <si>
    <t>Area remains constant</t>
  </si>
  <si>
    <r>
      <t>Adjusted Emission Factor,</t>
    </r>
    <r>
      <rPr>
        <i/>
        <sz val="12"/>
        <color theme="1"/>
        <rFont val="Arial"/>
        <family val="2"/>
      </rPr>
      <t xml:space="preserve"> EF</t>
    </r>
    <r>
      <rPr>
        <i/>
        <vertAlign val="subscript"/>
        <sz val="12"/>
        <color theme="1"/>
        <rFont val="Arial"/>
        <family val="2"/>
      </rPr>
      <t>i</t>
    </r>
  </si>
  <si>
    <r>
      <t>kg CH</t>
    </r>
    <r>
      <rPr>
        <vertAlign val="subscript"/>
        <sz val="12"/>
        <rFont val="Arial"/>
        <family val="2"/>
      </rPr>
      <t>4</t>
    </r>
    <r>
      <rPr>
        <sz val="12"/>
        <rFont val="Arial"/>
        <family val="2"/>
      </rPr>
      <t>/ha/day</t>
    </r>
  </si>
  <si>
    <r>
      <t>CH</t>
    </r>
    <r>
      <rPr>
        <vertAlign val="subscript"/>
        <sz val="12"/>
        <color theme="1"/>
        <rFont val="Arial"/>
        <family val="2"/>
      </rPr>
      <t>4</t>
    </r>
    <r>
      <rPr>
        <sz val="12"/>
        <color theme="1"/>
        <rFont val="Arial"/>
        <family val="2"/>
      </rPr>
      <t xml:space="preserve"> emissions</t>
    </r>
  </si>
  <si>
    <r>
      <t>Total CH</t>
    </r>
    <r>
      <rPr>
        <vertAlign val="subscript"/>
        <sz val="12"/>
        <color theme="1"/>
        <rFont val="Arial"/>
        <family val="2"/>
      </rPr>
      <t>4</t>
    </r>
    <r>
      <rPr>
        <sz val="12"/>
        <color theme="1"/>
        <rFont val="Arial"/>
        <family val="2"/>
      </rPr>
      <t xml:space="preserve"> emissions</t>
    </r>
  </si>
  <si>
    <r>
      <t>Direct N</t>
    </r>
    <r>
      <rPr>
        <i/>
        <vertAlign val="subscript"/>
        <sz val="12"/>
        <color theme="1"/>
        <rFont val="Arial"/>
        <family val="2"/>
      </rPr>
      <t>2</t>
    </r>
    <r>
      <rPr>
        <i/>
        <sz val="12"/>
        <color theme="1"/>
        <rFont val="Arial"/>
        <family val="2"/>
      </rPr>
      <t>0 emissions</t>
    </r>
  </si>
  <si>
    <r>
      <t>Annual direct N</t>
    </r>
    <r>
      <rPr>
        <vertAlign val="subscript"/>
        <sz val="12"/>
        <color theme="1"/>
        <rFont val="Arial"/>
        <family val="2"/>
      </rPr>
      <t>2</t>
    </r>
    <r>
      <rPr>
        <sz val="12"/>
        <color theme="1"/>
        <rFont val="Arial"/>
        <family val="2"/>
      </rPr>
      <t>O-N emissions</t>
    </r>
  </si>
  <si>
    <r>
      <t>Annual direct N</t>
    </r>
    <r>
      <rPr>
        <vertAlign val="subscript"/>
        <sz val="12"/>
        <color theme="1"/>
        <rFont val="Arial"/>
        <family val="2"/>
      </rPr>
      <t>2</t>
    </r>
    <r>
      <rPr>
        <sz val="12"/>
        <color theme="1"/>
        <rFont val="Arial"/>
        <family val="2"/>
      </rPr>
      <t>O emissions</t>
    </r>
  </si>
  <si>
    <r>
      <t>kg N</t>
    </r>
    <r>
      <rPr>
        <vertAlign val="subscript"/>
        <sz val="12"/>
        <rFont val="Arial"/>
        <family val="2"/>
      </rPr>
      <t>2</t>
    </r>
    <r>
      <rPr>
        <sz val="12"/>
        <rFont val="Arial"/>
        <family val="2"/>
      </rPr>
      <t>O/yr</t>
    </r>
  </si>
  <si>
    <r>
      <t>Total direct N</t>
    </r>
    <r>
      <rPr>
        <vertAlign val="subscript"/>
        <sz val="12"/>
        <color theme="1"/>
        <rFont val="Arial"/>
        <family val="2"/>
      </rPr>
      <t>2</t>
    </r>
    <r>
      <rPr>
        <sz val="12"/>
        <color theme="1"/>
        <rFont val="Arial"/>
        <family val="2"/>
      </rPr>
      <t>O emissions</t>
    </r>
  </si>
  <si>
    <t>Total WOM emissions</t>
  </si>
  <si>
    <r>
      <t xml:space="preserve">Harvested area, </t>
    </r>
    <r>
      <rPr>
        <i/>
        <sz val="12"/>
        <color theme="1"/>
        <rFont val="Arial"/>
        <family val="2"/>
      </rPr>
      <t>A</t>
    </r>
  </si>
  <si>
    <t>2% per year decrease in area managed under continuous flooding, starting t+11</t>
  </si>
  <si>
    <r>
      <t>Adjusted Emission Factor,</t>
    </r>
    <r>
      <rPr>
        <i/>
        <sz val="12"/>
        <color theme="1"/>
        <rFont val="Arial"/>
        <family val="2"/>
      </rPr>
      <t xml:space="preserve"> EF</t>
    </r>
    <r>
      <rPr>
        <i/>
        <vertAlign val="subscript"/>
        <sz val="12"/>
        <color theme="1"/>
        <rFont val="Arial"/>
        <family val="2"/>
      </rPr>
      <t>i-mit</t>
    </r>
  </si>
  <si>
    <t>Harvested area implementing AWD/dry seeding</t>
  </si>
  <si>
    <t>Starting t+11, 2% increase yearly</t>
  </si>
  <si>
    <r>
      <rPr>
        <i/>
        <sz val="12"/>
        <color theme="1"/>
        <rFont val="Arial"/>
        <family val="2"/>
      </rPr>
      <t>F</t>
    </r>
    <r>
      <rPr>
        <i/>
        <vertAlign val="subscript"/>
        <sz val="12"/>
        <color theme="1"/>
        <rFont val="Arial"/>
        <family val="2"/>
      </rPr>
      <t>SN</t>
    </r>
    <r>
      <rPr>
        <sz val="12"/>
        <color theme="1"/>
        <rFont val="Arial"/>
        <family val="2"/>
      </rPr>
      <t xml:space="preserve"> applied on continuosly flooded rice</t>
    </r>
  </si>
  <si>
    <t>2% per year decrease in amount of N applied to rice under continuous flooding, starting t+11</t>
  </si>
  <si>
    <r>
      <rPr>
        <i/>
        <sz val="12"/>
        <color theme="1"/>
        <rFont val="Arial"/>
        <family val="2"/>
      </rPr>
      <t>F</t>
    </r>
    <r>
      <rPr>
        <i/>
        <vertAlign val="subscript"/>
        <sz val="12"/>
        <color theme="1"/>
        <rFont val="Arial"/>
        <family val="2"/>
      </rPr>
      <t>SN</t>
    </r>
    <r>
      <rPr>
        <sz val="12"/>
        <color theme="1"/>
        <rFont val="Arial"/>
        <family val="2"/>
      </rPr>
      <t xml:space="preserve"> applied on rice with AWD/dry seeding</t>
    </r>
  </si>
  <si>
    <r>
      <t>Annual direct N</t>
    </r>
    <r>
      <rPr>
        <vertAlign val="subscript"/>
        <sz val="12"/>
        <rFont val="Arial"/>
        <family val="2"/>
      </rPr>
      <t>2</t>
    </r>
    <r>
      <rPr>
        <sz val="12"/>
        <rFont val="Arial"/>
        <family val="2"/>
      </rPr>
      <t>O-N emissions</t>
    </r>
  </si>
  <si>
    <r>
      <t>Total annual direct N</t>
    </r>
    <r>
      <rPr>
        <vertAlign val="subscript"/>
        <sz val="12"/>
        <color theme="1"/>
        <rFont val="Arial"/>
        <family val="2"/>
      </rPr>
      <t>2</t>
    </r>
    <r>
      <rPr>
        <sz val="12"/>
        <color theme="1"/>
        <rFont val="Arial"/>
        <family val="2"/>
      </rPr>
      <t>O emissions</t>
    </r>
  </si>
  <si>
    <t>Total WAM emissions</t>
  </si>
  <si>
    <t>Rice Cultivation Parameters and Data Sources</t>
  </si>
  <si>
    <t>Official national agriculture survey or census, expert knowledge</t>
  </si>
  <si>
    <t>NA - activity data</t>
  </si>
  <si>
    <t>At the beginning of the policy implementation period, and periodically as needed</t>
  </si>
  <si>
    <t>Official national agriculture survey or census</t>
  </si>
  <si>
    <t>NA - categorization</t>
  </si>
  <si>
    <r>
      <t>CH</t>
    </r>
    <r>
      <rPr>
        <vertAlign val="subscript"/>
        <sz val="10"/>
        <color theme="1"/>
        <rFont val="Arial"/>
        <family val="2"/>
      </rPr>
      <t>4</t>
    </r>
    <r>
      <rPr>
        <sz val="12"/>
        <color theme="1"/>
        <rFont val="Calibri"/>
        <family val="2"/>
        <scheme val="minor"/>
      </rPr>
      <t/>
    </r>
  </si>
  <si>
    <t>Pre-season water regime: 
Length and pattern for flooding pre-season (unitless)</t>
  </si>
  <si>
    <r>
      <rPr>
        <i/>
        <sz val="10"/>
        <rFont val="Arial"/>
        <family val="2"/>
      </rPr>
      <t>ROA:</t>
    </r>
    <r>
      <rPr>
        <sz val="10"/>
        <rFont val="Arial"/>
        <family val="2"/>
      </rPr>
      <t xml:space="preserve"> Types and application rate of organic amendments (tonnes/ha)</t>
    </r>
  </si>
  <si>
    <r>
      <t xml:space="preserve">Emission scaling factor for organic amendments, </t>
    </r>
    <r>
      <rPr>
        <i/>
        <sz val="10"/>
        <rFont val="Arial"/>
        <family val="2"/>
      </rPr>
      <t>SFo</t>
    </r>
  </si>
  <si>
    <r>
      <t>CH</t>
    </r>
    <r>
      <rPr>
        <vertAlign val="subscript"/>
        <sz val="10"/>
        <color theme="1"/>
        <rFont val="Arial"/>
        <family val="2"/>
      </rPr>
      <t>4</t>
    </r>
    <r>
      <rPr>
        <sz val="10"/>
        <color theme="1"/>
        <rFont val="Arial"/>
        <family val="2"/>
      </rPr>
      <t>, N2O</t>
    </r>
  </si>
  <si>
    <t>2019 Refinement, Vol 4, Ch 5, Table 5.14.</t>
  </si>
  <si>
    <r>
      <rPr>
        <i/>
        <sz val="10"/>
        <color theme="1"/>
        <rFont val="Arial"/>
        <family val="2"/>
      </rPr>
      <t>SFo</t>
    </r>
    <r>
      <rPr>
        <sz val="10"/>
        <color theme="1"/>
        <rFont val="Arial"/>
        <family val="2"/>
      </rPr>
      <t>, scaling factor for organic amendments</t>
    </r>
  </si>
  <si>
    <t>Residue management practices: fraction of burnt, removed, incorporated, residue</t>
  </si>
  <si>
    <t>Number of cultivation seasons (unitless)</t>
  </si>
  <si>
    <r>
      <rPr>
        <i/>
        <sz val="10"/>
        <color theme="1"/>
        <rFont val="Arial"/>
        <family val="2"/>
      </rPr>
      <t>A:</t>
    </r>
    <r>
      <rPr>
        <sz val="10"/>
        <color theme="1"/>
        <rFont val="Arial"/>
        <family val="2"/>
      </rPr>
      <t xml:space="preserve"> Annual harvested area (ha)</t>
    </r>
  </si>
  <si>
    <t>Rice cultivation emissions</t>
  </si>
  <si>
    <t>CH4, N2O</t>
  </si>
  <si>
    <r>
      <rPr>
        <i/>
        <sz val="10"/>
        <color theme="1"/>
        <rFont val="Arial"/>
        <family val="2"/>
      </rPr>
      <t xml:space="preserve">t: </t>
    </r>
    <r>
      <rPr>
        <sz val="10"/>
        <color theme="1"/>
        <rFont val="Arial"/>
        <family val="2"/>
      </rPr>
      <t>Cultivation period (day)</t>
    </r>
  </si>
  <si>
    <t>2019 Refinement, Vol 4, Ch 5, Table 5.11A, or country data</t>
  </si>
  <si>
    <r>
      <t>CH</t>
    </r>
    <r>
      <rPr>
        <vertAlign val="subscript"/>
        <sz val="10"/>
        <color theme="1"/>
        <rFont val="Arial"/>
        <family val="2"/>
      </rPr>
      <t>4</t>
    </r>
  </si>
  <si>
    <r>
      <rPr>
        <i/>
        <sz val="10"/>
        <color theme="1"/>
        <rFont val="Arial"/>
        <family val="2"/>
      </rPr>
      <t xml:space="preserve">SFw: </t>
    </r>
    <r>
      <rPr>
        <sz val="10"/>
        <color theme="1"/>
        <rFont val="Arial"/>
        <family val="2"/>
      </rPr>
      <t>Scaling factor for different water regimes during cultivation</t>
    </r>
  </si>
  <si>
    <t>2019 Refinement, Vol 4, Ch 5, Table 5.12</t>
  </si>
  <si>
    <t>Adjusted daily emission factor for particular harvested area</t>
  </si>
  <si>
    <r>
      <rPr>
        <i/>
        <sz val="10"/>
        <color theme="1"/>
        <rFont val="Arial"/>
        <family val="2"/>
      </rPr>
      <t xml:space="preserve">SFp: </t>
    </r>
    <r>
      <rPr>
        <sz val="10"/>
        <color theme="1"/>
        <rFont val="Arial"/>
        <family val="2"/>
      </rPr>
      <t>Scaling factor for different water regimes in pre-season</t>
    </r>
  </si>
  <si>
    <t>2019 Refinement, Vol 4, Ch 5, Table 5.13</t>
  </si>
  <si>
    <r>
      <rPr>
        <i/>
        <sz val="10"/>
        <color theme="1"/>
        <rFont val="Arial"/>
        <family val="2"/>
      </rPr>
      <t>SFo</t>
    </r>
    <r>
      <rPr>
        <sz val="10"/>
        <color theme="1"/>
        <rFont val="Arial"/>
        <family val="2"/>
      </rPr>
      <t>: Scaling factor for organic amendments</t>
    </r>
  </si>
  <si>
    <t>2019 Refinement, Vol 4, Ch 5, Eq 5.3</t>
  </si>
  <si>
    <r>
      <rPr>
        <i/>
        <sz val="10"/>
        <color theme="1"/>
        <rFont val="Arial"/>
        <family val="2"/>
      </rPr>
      <t>EF:</t>
    </r>
    <r>
      <rPr>
        <sz val="10"/>
        <color theme="1"/>
        <rFont val="Arial"/>
        <family val="2"/>
      </rPr>
      <t xml:space="preserve"> Baseline emission factor for continuously flooded rice without organic amendments (kg CH4/ha/day) </t>
    </r>
  </si>
  <si>
    <t>2019 Refinement, Vol 4, Ch 5, Table 5.11, or country data</t>
  </si>
  <si>
    <t>100-yr Global Warming Potential of CH4 and N2O</t>
  </si>
  <si>
    <r>
      <t>CH</t>
    </r>
    <r>
      <rPr>
        <b/>
        <vertAlign val="subscript"/>
        <sz val="14"/>
        <color theme="1"/>
        <rFont val="Arial"/>
        <family val="2"/>
      </rPr>
      <t>4</t>
    </r>
    <r>
      <rPr>
        <b/>
        <sz val="14"/>
        <color theme="1"/>
        <rFont val="Arial"/>
        <family val="2"/>
      </rPr>
      <t xml:space="preserve"> and N</t>
    </r>
    <r>
      <rPr>
        <b/>
        <vertAlign val="subscript"/>
        <sz val="14"/>
        <color theme="1"/>
        <rFont val="Arial"/>
        <family val="2"/>
      </rPr>
      <t>2</t>
    </r>
    <r>
      <rPr>
        <b/>
        <sz val="14"/>
        <color theme="1"/>
        <rFont val="Arial"/>
        <family val="2"/>
      </rPr>
      <t>O</t>
    </r>
  </si>
  <si>
    <r>
      <rPr>
        <i/>
        <sz val="10"/>
        <color theme="1"/>
        <rFont val="Arial"/>
        <family val="2"/>
      </rPr>
      <t>EF:</t>
    </r>
    <r>
      <rPr>
        <sz val="10"/>
        <color theme="1"/>
        <rFont val="Arial"/>
        <family val="2"/>
      </rPr>
      <t xml:space="preserve"> Adjusted emission factor (kg CH</t>
    </r>
    <r>
      <rPr>
        <vertAlign val="subscript"/>
        <sz val="10"/>
        <color theme="1"/>
        <rFont val="Arial"/>
        <family val="2"/>
      </rPr>
      <t>4</t>
    </r>
    <r>
      <rPr>
        <sz val="10"/>
        <color theme="1"/>
        <rFont val="Arial"/>
        <family val="2"/>
      </rPr>
      <t xml:space="preserve">/ha/day) </t>
    </r>
  </si>
  <si>
    <t>2019 Refinement, Vol 4, Ch 5, Eq 5.2</t>
  </si>
  <si>
    <r>
      <rPr>
        <i/>
        <sz val="10"/>
        <color theme="1"/>
        <rFont val="Arial"/>
        <family val="2"/>
      </rPr>
      <t>EF</t>
    </r>
    <r>
      <rPr>
        <i/>
        <vertAlign val="subscript"/>
        <sz val="10"/>
        <color theme="1"/>
        <rFont val="Arial"/>
        <family val="2"/>
      </rPr>
      <t>1FR</t>
    </r>
    <r>
      <rPr>
        <sz val="10"/>
        <color theme="1"/>
        <rFont val="Arial"/>
        <family val="2"/>
      </rPr>
      <t>: From N inputs to flooded rice (kg N</t>
    </r>
    <r>
      <rPr>
        <vertAlign val="subscript"/>
        <sz val="10"/>
        <color theme="1"/>
        <rFont val="Arial"/>
        <family val="2"/>
      </rPr>
      <t>2</t>
    </r>
    <r>
      <rPr>
        <sz val="10"/>
        <color theme="1"/>
        <rFont val="Arial"/>
        <family val="2"/>
      </rPr>
      <t>O-N/kg N input</t>
    </r>
  </si>
  <si>
    <t>2019 Refinement, Vol 4, Ch 11, Table 11.1</t>
  </si>
  <si>
    <r>
      <t xml:space="preserve">Tier </t>
    </r>
    <r>
      <rPr>
        <i/>
        <sz val="10"/>
        <color theme="1"/>
        <rFont val="Arial"/>
        <family val="2"/>
      </rPr>
      <t>EF</t>
    </r>
    <r>
      <rPr>
        <i/>
        <vertAlign val="subscript"/>
        <sz val="10"/>
        <color theme="1"/>
        <rFont val="Arial"/>
        <family val="2"/>
      </rPr>
      <t>1FR</t>
    </r>
  </si>
  <si>
    <r>
      <t>N</t>
    </r>
    <r>
      <rPr>
        <vertAlign val="subscript"/>
        <sz val="10"/>
        <color theme="1"/>
        <rFont val="Arial"/>
        <family val="2"/>
      </rPr>
      <t>2</t>
    </r>
    <r>
      <rPr>
        <sz val="10"/>
        <color theme="1"/>
        <rFont val="Arial"/>
        <family val="2"/>
      </rPr>
      <t>O</t>
    </r>
  </si>
  <si>
    <r>
      <rPr>
        <i/>
        <sz val="10"/>
        <rFont val="Arial"/>
        <family val="2"/>
      </rPr>
      <t>FSN, FON, FSOM, FCR</t>
    </r>
    <r>
      <rPr>
        <sz val="10"/>
        <rFont val="Arial"/>
        <family val="2"/>
      </rPr>
      <t>: See nutrient management data table for details on calculating N2O emissions from managed soils</t>
    </r>
  </si>
  <si>
    <t>See nutrient management data table for details</t>
  </si>
  <si>
    <r>
      <rPr>
        <i/>
        <sz val="10"/>
        <color theme="1"/>
        <rFont val="Arial"/>
        <family val="2"/>
      </rPr>
      <t>EF</t>
    </r>
    <r>
      <rPr>
        <sz val="10"/>
        <color theme="1"/>
        <rFont val="Arial"/>
        <family val="2"/>
      </rPr>
      <t>: Adjusted emission factor (kg CH4/ha/day)</t>
    </r>
  </si>
  <si>
    <t>2019 Refinement, Vol 4, Ch 5, Eq 5.2A</t>
  </si>
  <si>
    <t>Soil type (unitless)</t>
  </si>
  <si>
    <t>Soil surveys, soil classification at national level</t>
  </si>
  <si>
    <r>
      <rPr>
        <i/>
        <sz val="10"/>
        <color theme="1"/>
        <rFont val="Arial"/>
        <family val="2"/>
      </rPr>
      <t>Cultivars</t>
    </r>
    <r>
      <rPr>
        <sz val="10"/>
        <color theme="1"/>
        <rFont val="Arial"/>
        <family val="2"/>
      </rPr>
      <t>: Area per cultivar per year (ha/yr)</t>
    </r>
  </si>
  <si>
    <t>Agriculture census, Annual reports from Ministry of Agriculture, National Institute.</t>
  </si>
  <si>
    <r>
      <rPr>
        <i/>
        <sz val="10"/>
        <color theme="1"/>
        <rFont val="Arial"/>
        <family val="2"/>
      </rPr>
      <t xml:space="preserve">SFs: </t>
    </r>
    <r>
      <rPr>
        <sz val="10"/>
        <color theme="1"/>
        <rFont val="Arial"/>
        <family val="2"/>
      </rPr>
      <t>Scaling factor for soil types</t>
    </r>
  </si>
  <si>
    <r>
      <rPr>
        <i/>
        <sz val="10"/>
        <color theme="1"/>
        <rFont val="Arial"/>
        <family val="2"/>
      </rPr>
      <t xml:space="preserve">SFr: </t>
    </r>
    <r>
      <rPr>
        <sz val="10"/>
        <color theme="1"/>
        <rFont val="Arial"/>
        <family val="2"/>
      </rPr>
      <t>Scaling factor for rice cultivar</t>
    </r>
  </si>
  <si>
    <r>
      <rPr>
        <i/>
        <sz val="10"/>
        <color theme="1"/>
        <rFont val="Arial"/>
        <family val="2"/>
      </rPr>
      <t>Country-specific CH4 emission factors and parameters</t>
    </r>
    <r>
      <rPr>
        <sz val="10"/>
        <color theme="1"/>
        <rFont val="Arial"/>
        <family val="2"/>
      </rPr>
      <t>: based on management, cultivar, soil type</t>
    </r>
  </si>
  <si>
    <t>Agriculture or livestock survey or census; expert knowledge; data from representative research studies</t>
  </si>
  <si>
    <t>Tier 2 CH4 emissions from rice</t>
  </si>
  <si>
    <r>
      <rPr>
        <i/>
        <sz val="10"/>
        <color theme="1"/>
        <rFont val="Arial"/>
        <family val="2"/>
      </rPr>
      <t>Country-specific EFs and parameters</t>
    </r>
    <r>
      <rPr>
        <sz val="10"/>
        <color theme="1"/>
        <rFont val="Arial"/>
        <family val="2"/>
      </rPr>
      <t xml:space="preserve"> for nutrient inputs used in rice cultivation</t>
    </r>
  </si>
  <si>
    <t>Total Urea applied (kg) dry (with a 109 kg urea/ha/yr application rate)</t>
  </si>
  <si>
    <t>Fraction by 2020</t>
  </si>
  <si>
    <t>Fraction by 2040</t>
  </si>
  <si>
    <t>At sowing</t>
  </si>
  <si>
    <t>kg N/ha/yr</t>
  </si>
  <si>
    <t>Fertilizer amount per season
(kg/ha/season)</t>
  </si>
  <si>
    <t>Total GHG</t>
  </si>
  <si>
    <t>Accumulated impact of policy</t>
  </si>
  <si>
    <t>Annual impact of policy</t>
  </si>
  <si>
    <t>t-20 (Total SOC in t C)</t>
  </si>
  <si>
    <t>t (Total SOC in t C)</t>
  </si>
  <si>
    <t>t+20 (Total SOC in t C)</t>
  </si>
  <si>
    <t>Annual population,
# of heads</t>
  </si>
  <si>
    <t>West Province area (ha)</t>
  </si>
  <si>
    <t>East Province area (ha)</t>
  </si>
  <si>
    <t>CONTENT NAVIGATION DASHBOARD</t>
  </si>
  <si>
    <t>HYPOTHETICAL COUNTRY NATIONAL CIRCUMSTANCES</t>
  </si>
  <si>
    <t>Policy Assessment Results</t>
  </si>
  <si>
    <r>
      <t>Manure management CH</t>
    </r>
    <r>
      <rPr>
        <b/>
        <vertAlign val="subscript"/>
        <sz val="12"/>
        <color theme="1"/>
        <rFont val="Arial"/>
        <family val="2"/>
      </rPr>
      <t>4</t>
    </r>
    <r>
      <rPr>
        <b/>
        <sz val="12"/>
        <color theme="1"/>
        <rFont val="Arial"/>
        <family val="2"/>
      </rPr>
      <t xml:space="preserve"> emissions (Gg CO</t>
    </r>
    <r>
      <rPr>
        <b/>
        <vertAlign val="subscript"/>
        <sz val="12"/>
        <color theme="1"/>
        <rFont val="Arial"/>
        <family val="2"/>
      </rPr>
      <t>2</t>
    </r>
    <r>
      <rPr>
        <b/>
        <sz val="12"/>
        <color theme="1"/>
        <rFont val="Arial"/>
        <family val="2"/>
      </rPr>
      <t>e)</t>
    </r>
  </si>
  <si>
    <r>
      <t>Enteric fermentation CH</t>
    </r>
    <r>
      <rPr>
        <b/>
        <vertAlign val="subscript"/>
        <sz val="12"/>
        <color theme="1"/>
        <rFont val="Arial"/>
        <family val="2"/>
      </rPr>
      <t>4</t>
    </r>
    <r>
      <rPr>
        <b/>
        <sz val="12"/>
        <color theme="1"/>
        <rFont val="Arial"/>
        <family val="2"/>
      </rPr>
      <t xml:space="preserve"> emissions (Gg CO</t>
    </r>
    <r>
      <rPr>
        <b/>
        <vertAlign val="subscript"/>
        <sz val="12"/>
        <color theme="1"/>
        <rFont val="Arial"/>
        <family val="2"/>
      </rPr>
      <t>2</t>
    </r>
    <r>
      <rPr>
        <b/>
        <sz val="12"/>
        <color theme="1"/>
        <rFont val="Arial"/>
        <family val="2"/>
      </rPr>
      <t>e)</t>
    </r>
  </si>
  <si>
    <r>
      <t>Total CH</t>
    </r>
    <r>
      <rPr>
        <b/>
        <vertAlign val="subscript"/>
        <sz val="12"/>
        <color theme="1"/>
        <rFont val="Arial"/>
        <family val="2"/>
      </rPr>
      <t>4</t>
    </r>
    <r>
      <rPr>
        <b/>
        <sz val="12"/>
        <color theme="1"/>
        <rFont val="Arial"/>
        <family val="2"/>
      </rPr>
      <t xml:space="preserve"> emissions (Gg CO</t>
    </r>
    <r>
      <rPr>
        <b/>
        <vertAlign val="subscript"/>
        <sz val="12"/>
        <color theme="1"/>
        <rFont val="Arial"/>
        <family val="2"/>
      </rPr>
      <t>2</t>
    </r>
    <r>
      <rPr>
        <b/>
        <sz val="12"/>
        <color theme="1"/>
        <rFont val="Arial"/>
        <family val="2"/>
      </rPr>
      <t>e)</t>
    </r>
  </si>
  <si>
    <r>
      <t>CH</t>
    </r>
    <r>
      <rPr>
        <b/>
        <vertAlign val="subscript"/>
        <sz val="12"/>
        <rFont val="Arial"/>
        <family val="2"/>
      </rPr>
      <t>4</t>
    </r>
    <r>
      <rPr>
        <b/>
        <sz val="12"/>
        <rFont val="Arial"/>
        <family val="2"/>
      </rPr>
      <t xml:space="preserve"> EF (low productivity, tropical montane/wet/moist/dry)</t>
    </r>
  </si>
  <si>
    <t>Without Measure (WOM)</t>
  </si>
  <si>
    <t>Total WAM-HIGH emissions</t>
  </si>
  <si>
    <t>Total WAM-LOW emissions</t>
  </si>
  <si>
    <r>
      <t>Enteric Fermentation CH</t>
    </r>
    <r>
      <rPr>
        <b/>
        <vertAlign val="subscript"/>
        <sz val="12"/>
        <color theme="1"/>
        <rFont val="Arial"/>
        <family val="2"/>
      </rPr>
      <t>4</t>
    </r>
    <r>
      <rPr>
        <b/>
        <sz val="12"/>
        <color theme="1"/>
        <rFont val="Arial"/>
        <family val="2"/>
      </rPr>
      <t xml:space="preserve"> (dairy cattle and other cattle)</t>
    </r>
  </si>
  <si>
    <t>% SOC change</t>
  </si>
  <si>
    <r>
      <t>Manure management CH</t>
    </r>
    <r>
      <rPr>
        <vertAlign val="subscript"/>
        <sz val="12"/>
        <color theme="1"/>
        <rFont val="Arial"/>
        <family val="2"/>
      </rPr>
      <t>4</t>
    </r>
    <r>
      <rPr>
        <sz val="12"/>
        <color theme="1"/>
        <rFont val="Arial"/>
        <family val="2"/>
      </rPr>
      <t xml:space="preserve"> emissions (Gg CO</t>
    </r>
    <r>
      <rPr>
        <vertAlign val="subscript"/>
        <sz val="12"/>
        <color theme="1"/>
        <rFont val="Arial"/>
        <family val="2"/>
      </rPr>
      <t>2</t>
    </r>
    <r>
      <rPr>
        <sz val="12"/>
        <color theme="1"/>
        <rFont val="Arial"/>
        <family val="2"/>
      </rPr>
      <t>e)</t>
    </r>
  </si>
  <si>
    <r>
      <t>Enteric fermentation CH</t>
    </r>
    <r>
      <rPr>
        <vertAlign val="subscript"/>
        <sz val="12"/>
        <color theme="1"/>
        <rFont val="Arial"/>
        <family val="2"/>
      </rPr>
      <t>4</t>
    </r>
    <r>
      <rPr>
        <sz val="12"/>
        <color theme="1"/>
        <rFont val="Arial"/>
        <family val="2"/>
      </rPr>
      <t xml:space="preserve"> emissions (Gg CO</t>
    </r>
    <r>
      <rPr>
        <vertAlign val="subscript"/>
        <sz val="12"/>
        <color theme="1"/>
        <rFont val="Arial"/>
        <family val="2"/>
      </rPr>
      <t>2</t>
    </r>
    <r>
      <rPr>
        <sz val="12"/>
        <color theme="1"/>
        <rFont val="Arial"/>
        <family val="2"/>
      </rPr>
      <t>e)</t>
    </r>
  </si>
  <si>
    <t>Scenario: WOM</t>
  </si>
  <si>
    <t>Scenario: WAM-HIGH</t>
  </si>
  <si>
    <t>Scenario: WAM-LOW</t>
  </si>
  <si>
    <t>MANURE MANAGEMENT PARAMETERS AND DATA SOURCES</t>
  </si>
  <si>
    <r>
      <t>CH</t>
    </r>
    <r>
      <rPr>
        <vertAlign val="subscript"/>
        <sz val="10"/>
        <color theme="1"/>
        <rFont val="Arial"/>
        <family val="2"/>
      </rPr>
      <t>4</t>
    </r>
    <r>
      <rPr>
        <sz val="10"/>
        <color theme="1"/>
        <rFont val="Arial"/>
        <family val="2"/>
      </rPr>
      <t>, direct N</t>
    </r>
    <r>
      <rPr>
        <vertAlign val="subscript"/>
        <sz val="10"/>
        <color theme="1"/>
        <rFont val="Arial"/>
        <family val="2"/>
      </rPr>
      <t>2</t>
    </r>
    <r>
      <rPr>
        <sz val="10"/>
        <color theme="1"/>
        <rFont val="Arial"/>
        <family val="2"/>
      </rPr>
      <t>O, indirect N</t>
    </r>
    <r>
      <rPr>
        <vertAlign val="subscript"/>
        <sz val="10"/>
        <color theme="1"/>
        <rFont val="Arial"/>
        <family val="2"/>
      </rPr>
      <t>2</t>
    </r>
    <r>
      <rPr>
        <sz val="10"/>
        <color theme="1"/>
        <rFont val="Arial"/>
        <family val="2"/>
      </rPr>
      <t>O (and from NH</t>
    </r>
    <r>
      <rPr>
        <vertAlign val="subscript"/>
        <sz val="10"/>
        <color theme="1"/>
        <rFont val="Arial"/>
        <family val="2"/>
      </rPr>
      <t>3</t>
    </r>
    <r>
      <rPr>
        <sz val="10"/>
        <color theme="1"/>
        <rFont val="Arial"/>
        <family val="2"/>
      </rPr>
      <t xml:space="preserve"> and NO</t>
    </r>
    <r>
      <rPr>
        <vertAlign val="subscript"/>
        <sz val="10"/>
        <color theme="1"/>
        <rFont val="Arial"/>
        <family val="2"/>
      </rPr>
      <t>x</t>
    </r>
    <r>
      <rPr>
        <sz val="10"/>
        <color theme="1"/>
        <rFont val="Arial"/>
        <family val="2"/>
      </rPr>
      <t>)</t>
    </r>
  </si>
  <si>
    <r>
      <t>CH</t>
    </r>
    <r>
      <rPr>
        <vertAlign val="subscript"/>
        <sz val="10"/>
        <color theme="1"/>
        <rFont val="Arial"/>
        <family val="2"/>
      </rPr>
      <t>4</t>
    </r>
    <r>
      <rPr>
        <sz val="10"/>
        <color theme="1"/>
        <rFont val="Arial"/>
        <family val="2"/>
      </rPr>
      <t>, direct N</t>
    </r>
    <r>
      <rPr>
        <vertAlign val="subscript"/>
        <sz val="10"/>
        <color theme="1"/>
        <rFont val="Arial"/>
        <family val="2"/>
      </rPr>
      <t>2</t>
    </r>
    <r>
      <rPr>
        <sz val="10"/>
        <color theme="1"/>
        <rFont val="Arial"/>
        <family val="2"/>
      </rPr>
      <t>O, indirect N</t>
    </r>
    <r>
      <rPr>
        <vertAlign val="subscript"/>
        <sz val="10"/>
        <color theme="1"/>
        <rFont val="Arial"/>
        <family val="2"/>
      </rPr>
      <t>2</t>
    </r>
    <r>
      <rPr>
        <sz val="10"/>
        <color theme="1"/>
        <rFont val="Arial"/>
        <family val="2"/>
      </rPr>
      <t>O</t>
    </r>
  </si>
  <si>
    <r>
      <t>Direct N</t>
    </r>
    <r>
      <rPr>
        <vertAlign val="subscript"/>
        <sz val="10"/>
        <color theme="1"/>
        <rFont val="Arial"/>
        <family val="2"/>
      </rPr>
      <t>2</t>
    </r>
    <r>
      <rPr>
        <sz val="10"/>
        <color theme="1"/>
        <rFont val="Arial"/>
        <family val="2"/>
      </rPr>
      <t>O</t>
    </r>
  </si>
  <si>
    <r>
      <t>Indirect N</t>
    </r>
    <r>
      <rPr>
        <vertAlign val="subscript"/>
        <sz val="10"/>
        <color theme="1"/>
        <rFont val="Arial"/>
        <family val="2"/>
      </rPr>
      <t>2</t>
    </r>
    <r>
      <rPr>
        <sz val="10"/>
        <color theme="1"/>
        <rFont val="Arial"/>
        <family val="2"/>
      </rPr>
      <t>O (from NH</t>
    </r>
    <r>
      <rPr>
        <vertAlign val="subscript"/>
        <sz val="10"/>
        <color theme="1"/>
        <rFont val="Arial"/>
        <family val="2"/>
      </rPr>
      <t>3</t>
    </r>
    <r>
      <rPr>
        <sz val="10"/>
        <color theme="1"/>
        <rFont val="Arial"/>
        <family val="2"/>
      </rPr>
      <t xml:space="preserve"> and NO</t>
    </r>
    <r>
      <rPr>
        <vertAlign val="subscript"/>
        <sz val="10"/>
        <color theme="1"/>
        <rFont val="Arial"/>
        <family val="2"/>
      </rPr>
      <t>x</t>
    </r>
    <r>
      <rPr>
        <sz val="10"/>
        <color theme="1"/>
        <rFont val="Arial"/>
        <family val="2"/>
      </rPr>
      <t>)</t>
    </r>
  </si>
  <si>
    <r>
      <t>Indirect N</t>
    </r>
    <r>
      <rPr>
        <vertAlign val="subscript"/>
        <sz val="10"/>
        <color theme="1"/>
        <rFont val="Arial"/>
        <family val="2"/>
      </rPr>
      <t>2</t>
    </r>
    <r>
      <rPr>
        <sz val="10"/>
        <color theme="1"/>
        <rFont val="Arial"/>
        <family val="2"/>
      </rPr>
      <t>O</t>
    </r>
  </si>
  <si>
    <r>
      <t>All livestock CH</t>
    </r>
    <r>
      <rPr>
        <vertAlign val="subscript"/>
        <sz val="10"/>
        <rFont val="Arial"/>
        <family val="2"/>
      </rPr>
      <t>4</t>
    </r>
    <r>
      <rPr>
        <sz val="10"/>
        <rFont val="Arial"/>
        <family val="2"/>
      </rPr>
      <t>, N</t>
    </r>
    <r>
      <rPr>
        <vertAlign val="subscript"/>
        <sz val="10"/>
        <rFont val="Arial"/>
        <family val="2"/>
      </rPr>
      <t>2</t>
    </r>
    <r>
      <rPr>
        <sz val="10"/>
        <rFont val="Arial"/>
        <family val="2"/>
      </rPr>
      <t>O and NH</t>
    </r>
    <r>
      <rPr>
        <vertAlign val="subscript"/>
        <sz val="10"/>
        <rFont val="Arial"/>
        <family val="2"/>
      </rPr>
      <t>3</t>
    </r>
    <r>
      <rPr>
        <sz val="10"/>
        <rFont val="Arial"/>
        <family val="2"/>
      </rPr>
      <t xml:space="preserve"> emissions sources</t>
    </r>
  </si>
  <si>
    <r>
      <t>Annual VS excretion rates
Nex for tier 1 for direct and indirect N</t>
    </r>
    <r>
      <rPr>
        <vertAlign val="subscript"/>
        <sz val="10"/>
        <rFont val="Arial"/>
        <family val="2"/>
      </rPr>
      <t>2</t>
    </r>
    <r>
      <rPr>
        <sz val="10"/>
        <rFont val="Arial"/>
        <family val="2"/>
      </rPr>
      <t>O</t>
    </r>
  </si>
  <si>
    <r>
      <t>Tier 1a disaggregated CH</t>
    </r>
    <r>
      <rPr>
        <vertAlign val="subscript"/>
        <sz val="10"/>
        <color theme="1"/>
        <rFont val="Arial"/>
        <family val="2"/>
      </rPr>
      <t>4</t>
    </r>
    <r>
      <rPr>
        <sz val="10"/>
        <color theme="1"/>
        <rFont val="Arial"/>
        <family val="2"/>
      </rPr>
      <t xml:space="preserve"> Enteric emisison factors by productivity level</t>
    </r>
  </si>
  <si>
    <r>
      <t>Converts CH</t>
    </r>
    <r>
      <rPr>
        <vertAlign val="subscript"/>
        <sz val="10"/>
        <rFont val="Arial"/>
        <family val="2"/>
      </rPr>
      <t>4</t>
    </r>
    <r>
      <rPr>
        <sz val="10"/>
        <rFont val="Arial"/>
        <family val="2"/>
      </rPr>
      <t>, N</t>
    </r>
    <r>
      <rPr>
        <vertAlign val="subscript"/>
        <sz val="10"/>
        <rFont val="Arial"/>
        <family val="2"/>
      </rPr>
      <t>2</t>
    </r>
    <r>
      <rPr>
        <sz val="10"/>
        <rFont val="Arial"/>
        <family val="2"/>
      </rPr>
      <t>O to CO</t>
    </r>
    <r>
      <rPr>
        <vertAlign val="subscript"/>
        <sz val="10"/>
        <rFont val="Arial"/>
        <family val="2"/>
      </rPr>
      <t>2</t>
    </r>
    <r>
      <rPr>
        <sz val="10"/>
        <rFont val="Arial"/>
        <family val="2"/>
      </rPr>
      <t>e emissions</t>
    </r>
  </si>
  <si>
    <r>
      <t>100-yr GWP of CH</t>
    </r>
    <r>
      <rPr>
        <vertAlign val="subscript"/>
        <sz val="10"/>
        <color theme="1"/>
        <rFont val="Arial"/>
        <family val="2"/>
      </rPr>
      <t>4</t>
    </r>
    <r>
      <rPr>
        <sz val="10"/>
        <color theme="1"/>
        <rFont val="Arial"/>
        <family val="2"/>
      </rPr>
      <t xml:space="preserve"> and N</t>
    </r>
    <r>
      <rPr>
        <vertAlign val="subscript"/>
        <sz val="10"/>
        <color theme="1"/>
        <rFont val="Arial"/>
        <family val="2"/>
      </rPr>
      <t>2</t>
    </r>
    <r>
      <rPr>
        <sz val="10"/>
        <color theme="1"/>
        <rFont val="Arial"/>
        <family val="2"/>
      </rPr>
      <t>O</t>
    </r>
  </si>
  <si>
    <r>
      <rPr>
        <i/>
        <sz val="10"/>
        <color theme="1"/>
        <rFont val="Arial"/>
        <family val="2"/>
      </rPr>
      <t>Manure default CH</t>
    </r>
    <r>
      <rPr>
        <i/>
        <vertAlign val="subscript"/>
        <sz val="10"/>
        <color theme="1"/>
        <rFont val="Arial"/>
        <family val="2"/>
      </rPr>
      <t>4</t>
    </r>
    <r>
      <rPr>
        <i/>
        <sz val="10"/>
        <color theme="1"/>
        <rFont val="Arial"/>
        <family val="2"/>
      </rPr>
      <t xml:space="preserve"> emission factor (EF):</t>
    </r>
    <r>
      <rPr>
        <sz val="10"/>
        <color theme="1"/>
        <rFont val="Arial"/>
        <family val="2"/>
      </rPr>
      <t xml:space="preserve"> Default values are determined based on annual temperatures (</t>
    </r>
    <r>
      <rPr>
        <sz val="10"/>
        <rFont val="Arial"/>
        <family val="2"/>
      </rPr>
      <t xml:space="preserve">g </t>
    </r>
    <r>
      <rPr>
        <sz val="10"/>
        <color theme="1"/>
        <rFont val="Arial"/>
        <family val="2"/>
      </rPr>
      <t>CH</t>
    </r>
    <r>
      <rPr>
        <vertAlign val="subscript"/>
        <sz val="10"/>
        <color theme="1"/>
        <rFont val="Arial"/>
        <family val="2"/>
      </rPr>
      <t>4</t>
    </r>
    <r>
      <rPr>
        <sz val="10"/>
        <color theme="1"/>
        <rFont val="Arial"/>
        <family val="2"/>
      </rPr>
      <t>/kg VS excreted)</t>
    </r>
  </si>
  <si>
    <r>
      <t>Tier 1 CH</t>
    </r>
    <r>
      <rPr>
        <vertAlign val="subscript"/>
        <sz val="10"/>
        <color theme="1"/>
        <rFont val="Arial"/>
        <family val="2"/>
      </rPr>
      <t>4</t>
    </r>
    <r>
      <rPr>
        <sz val="10"/>
        <color theme="1"/>
        <rFont val="Arial"/>
        <family val="2"/>
      </rPr>
      <t xml:space="preserve"> manure emissions</t>
    </r>
  </si>
  <si>
    <r>
      <t>Total annual excreta / volatile solids (</t>
    </r>
    <r>
      <rPr>
        <i/>
        <sz val="10"/>
        <color theme="1"/>
        <rFont val="Arial"/>
        <family val="2"/>
      </rPr>
      <t>VS</t>
    </r>
    <r>
      <rPr>
        <sz val="10"/>
        <color theme="1"/>
        <rFont val="Arial"/>
        <family val="2"/>
      </rPr>
      <t>) per livestock category, used for Tier 1 CH</t>
    </r>
    <r>
      <rPr>
        <vertAlign val="subscript"/>
        <sz val="10"/>
        <color theme="1"/>
        <rFont val="Arial"/>
        <family val="2"/>
      </rPr>
      <t>4</t>
    </r>
    <r>
      <rPr>
        <sz val="10"/>
        <color theme="1"/>
        <rFont val="Arial"/>
        <family val="2"/>
      </rPr>
      <t xml:space="preserve"> manure emissions</t>
    </r>
  </si>
  <si>
    <r>
      <t>Tier 1 direct N</t>
    </r>
    <r>
      <rPr>
        <vertAlign val="subscript"/>
        <sz val="10"/>
        <color theme="1"/>
        <rFont val="Arial"/>
        <family val="2"/>
      </rPr>
      <t>2</t>
    </r>
    <r>
      <rPr>
        <sz val="10"/>
        <color theme="1"/>
        <rFont val="Arial"/>
        <family val="2"/>
      </rPr>
      <t>O emissions from manure &amp;
Tier 1 indirect N</t>
    </r>
    <r>
      <rPr>
        <vertAlign val="subscript"/>
        <sz val="10"/>
        <color theme="1"/>
        <rFont val="Arial"/>
        <family val="2"/>
      </rPr>
      <t>2</t>
    </r>
    <r>
      <rPr>
        <sz val="10"/>
        <color theme="1"/>
        <rFont val="Arial"/>
        <family val="2"/>
      </rPr>
      <t>O emissions from manure; leaching and runoff and volatilization</t>
    </r>
  </si>
  <si>
    <r>
      <t>Tier 1 direct N</t>
    </r>
    <r>
      <rPr>
        <vertAlign val="subscript"/>
        <sz val="10"/>
        <color theme="1"/>
        <rFont val="Arial"/>
        <family val="2"/>
      </rPr>
      <t>2</t>
    </r>
    <r>
      <rPr>
        <sz val="10"/>
        <color theme="1"/>
        <rFont val="Arial"/>
        <family val="2"/>
      </rPr>
      <t>O emissions from manure</t>
    </r>
  </si>
  <si>
    <r>
      <t>N</t>
    </r>
    <r>
      <rPr>
        <i/>
        <vertAlign val="subscript"/>
        <sz val="10"/>
        <rFont val="Arial"/>
        <family val="2"/>
      </rPr>
      <t>2</t>
    </r>
    <r>
      <rPr>
        <i/>
        <sz val="10"/>
        <rFont val="Arial"/>
        <family val="2"/>
      </rPr>
      <t>O</t>
    </r>
    <r>
      <rPr>
        <i/>
        <vertAlign val="subscript"/>
        <sz val="10"/>
        <rFont val="Arial"/>
        <family val="2"/>
      </rPr>
      <t>G</t>
    </r>
  </si>
  <si>
    <r>
      <t>Tier 1 indirect N</t>
    </r>
    <r>
      <rPr>
        <vertAlign val="subscript"/>
        <sz val="10"/>
        <rFont val="Arial"/>
        <family val="2"/>
      </rPr>
      <t>2</t>
    </r>
    <r>
      <rPr>
        <sz val="10"/>
        <rFont val="Arial"/>
        <family val="2"/>
      </rPr>
      <t>O emissions from manure, volatilization</t>
    </r>
  </si>
  <si>
    <r>
      <t>N</t>
    </r>
    <r>
      <rPr>
        <i/>
        <vertAlign val="subscript"/>
        <sz val="10"/>
        <rFont val="Arial"/>
        <family val="2"/>
      </rPr>
      <t>leaching</t>
    </r>
  </si>
  <si>
    <r>
      <t>N</t>
    </r>
    <r>
      <rPr>
        <i/>
        <vertAlign val="subscript"/>
        <sz val="10"/>
        <rFont val="Arial"/>
        <family val="2"/>
      </rPr>
      <t>2</t>
    </r>
    <r>
      <rPr>
        <i/>
        <sz val="10"/>
        <rFont val="Arial"/>
        <family val="2"/>
      </rPr>
      <t>O</t>
    </r>
    <r>
      <rPr>
        <i/>
        <vertAlign val="subscript"/>
        <sz val="10"/>
        <rFont val="Arial"/>
        <family val="2"/>
      </rPr>
      <t>L</t>
    </r>
  </si>
  <si>
    <r>
      <t>Tier 1 indirect N</t>
    </r>
    <r>
      <rPr>
        <vertAlign val="subscript"/>
        <sz val="10"/>
        <color theme="1"/>
        <rFont val="Arial"/>
        <family val="2"/>
      </rPr>
      <t>2</t>
    </r>
    <r>
      <rPr>
        <sz val="10"/>
        <color theme="1"/>
        <rFont val="Arial"/>
        <family val="2"/>
      </rPr>
      <t>O emissions from manure, leaching and runoff</t>
    </r>
  </si>
  <si>
    <r>
      <rPr>
        <i/>
        <sz val="10"/>
        <color theme="1"/>
        <rFont val="Arial"/>
        <family val="2"/>
      </rPr>
      <t xml:space="preserve">EF5: </t>
    </r>
    <r>
      <rPr>
        <sz val="10"/>
        <color theme="1"/>
        <rFont val="Arial"/>
        <family val="2"/>
      </rPr>
      <t>Emission factor for N</t>
    </r>
    <r>
      <rPr>
        <vertAlign val="subscript"/>
        <sz val="10"/>
        <color theme="1"/>
        <rFont val="Arial"/>
        <family val="2"/>
      </rPr>
      <t>2</t>
    </r>
    <r>
      <rPr>
        <sz val="10"/>
        <color theme="1"/>
        <rFont val="Arial"/>
        <family val="2"/>
      </rPr>
      <t>O emissions from N leaching and runoff (kg N</t>
    </r>
    <r>
      <rPr>
        <vertAlign val="subscript"/>
        <sz val="10"/>
        <color theme="1"/>
        <rFont val="Arial"/>
        <family val="2"/>
      </rPr>
      <t>2</t>
    </r>
    <r>
      <rPr>
        <sz val="10"/>
        <color theme="1"/>
        <rFont val="Arial"/>
        <family val="2"/>
      </rPr>
      <t>O/kg N leached and runoff)</t>
    </r>
  </si>
  <si>
    <r>
      <rPr>
        <i/>
        <sz val="10"/>
        <rFont val="Arial"/>
        <family val="2"/>
      </rPr>
      <t>EF</t>
    </r>
    <r>
      <rPr>
        <i/>
        <vertAlign val="subscript"/>
        <sz val="10"/>
        <rFont val="Arial"/>
        <family val="2"/>
      </rPr>
      <t>4</t>
    </r>
    <r>
      <rPr>
        <i/>
        <sz val="10"/>
        <rFont val="Arial"/>
        <family val="2"/>
      </rPr>
      <t>:</t>
    </r>
    <r>
      <rPr>
        <sz val="10"/>
        <rFont val="Arial"/>
        <family val="2"/>
      </rPr>
      <t xml:space="preserve"> Emission factor for N</t>
    </r>
    <r>
      <rPr>
        <vertAlign val="subscript"/>
        <sz val="10"/>
        <rFont val="Arial"/>
        <family val="2"/>
      </rPr>
      <t>2</t>
    </r>
    <r>
      <rPr>
        <sz val="10"/>
        <rFont val="Arial"/>
        <family val="2"/>
      </rPr>
      <t>O emissions from atmospheric deposition of N on soils and water surfaces (kg N</t>
    </r>
    <r>
      <rPr>
        <vertAlign val="subscript"/>
        <sz val="10"/>
        <rFont val="Arial"/>
        <family val="2"/>
      </rPr>
      <t>2</t>
    </r>
    <r>
      <rPr>
        <sz val="10"/>
        <rFont val="Arial"/>
        <family val="2"/>
      </rPr>
      <t>O-N/kg NH</t>
    </r>
    <r>
      <rPr>
        <vertAlign val="subscript"/>
        <sz val="10"/>
        <rFont val="Arial"/>
        <family val="2"/>
      </rPr>
      <t>3</t>
    </r>
    <r>
      <rPr>
        <sz val="10"/>
        <rFont val="Arial"/>
        <family val="2"/>
      </rPr>
      <t xml:space="preserve">-N + Nox-N volatilised) </t>
    </r>
  </si>
  <si>
    <r>
      <rPr>
        <i/>
        <sz val="10"/>
        <color theme="1"/>
        <rFont val="Arial"/>
        <family val="2"/>
      </rPr>
      <t>N</t>
    </r>
    <r>
      <rPr>
        <i/>
        <vertAlign val="subscript"/>
        <sz val="10"/>
        <color theme="1"/>
        <rFont val="Arial"/>
        <family val="2"/>
      </rPr>
      <t>2</t>
    </r>
    <r>
      <rPr>
        <i/>
        <sz val="10"/>
        <color theme="1"/>
        <rFont val="Arial"/>
        <family val="2"/>
      </rPr>
      <t>O</t>
    </r>
    <r>
      <rPr>
        <i/>
        <vertAlign val="subscript"/>
        <sz val="10"/>
        <color theme="1"/>
        <rFont val="Arial"/>
        <family val="2"/>
      </rPr>
      <t>D</t>
    </r>
    <r>
      <rPr>
        <sz val="10"/>
        <color theme="1"/>
        <rFont val="Arial"/>
        <family val="2"/>
      </rPr>
      <t>: Emissions calculated per species and category, split by high- and low-productivity where applicable, per manure management system (kg N</t>
    </r>
    <r>
      <rPr>
        <vertAlign val="subscript"/>
        <sz val="10"/>
        <color theme="1"/>
        <rFont val="Arial"/>
        <family val="2"/>
      </rPr>
      <t>2</t>
    </r>
    <r>
      <rPr>
        <sz val="10"/>
        <color theme="1"/>
        <rFont val="Arial"/>
        <family val="2"/>
      </rPr>
      <t>O/yr)</t>
    </r>
  </si>
  <si>
    <r>
      <t>Frac</t>
    </r>
    <r>
      <rPr>
        <vertAlign val="subscript"/>
        <sz val="10"/>
        <rFont val="Arial"/>
        <family val="2"/>
      </rPr>
      <t>GASMS</t>
    </r>
    <r>
      <rPr>
        <sz val="10"/>
        <rFont val="Arial"/>
        <family val="2"/>
      </rPr>
      <t>: Proportion of managed manure nitrogen lost as NH</t>
    </r>
    <r>
      <rPr>
        <vertAlign val="subscript"/>
        <sz val="10"/>
        <rFont val="Arial"/>
        <family val="2"/>
      </rPr>
      <t>3</t>
    </r>
    <r>
      <rPr>
        <sz val="10"/>
        <rFont val="Arial"/>
        <family val="2"/>
      </rPr>
      <t xml:space="preserve"> or NO</t>
    </r>
    <r>
      <rPr>
        <vertAlign val="subscript"/>
        <sz val="10"/>
        <rFont val="Arial"/>
        <family val="2"/>
      </rPr>
      <t>X</t>
    </r>
    <r>
      <rPr>
        <sz val="10"/>
        <rFont val="Arial"/>
        <family val="2"/>
      </rPr>
      <t xml:space="preserve"> by volatilisation per species, category and manure management system</t>
    </r>
  </si>
  <si>
    <r>
      <rPr>
        <i/>
        <sz val="10"/>
        <color theme="1"/>
        <rFont val="Arial"/>
        <family val="2"/>
      </rPr>
      <t>EF</t>
    </r>
    <r>
      <rPr>
        <i/>
        <vertAlign val="subscript"/>
        <sz val="10"/>
        <color theme="1"/>
        <rFont val="Arial"/>
        <family val="2"/>
      </rPr>
      <t>3</t>
    </r>
    <r>
      <rPr>
        <i/>
        <sz val="10"/>
        <color theme="1"/>
        <rFont val="Arial"/>
        <family val="2"/>
      </rPr>
      <t xml:space="preserve">: </t>
    </r>
    <r>
      <rPr>
        <sz val="10"/>
        <color theme="1"/>
        <rFont val="Arial"/>
        <family val="2"/>
      </rPr>
      <t>Emission factor for direct N</t>
    </r>
    <r>
      <rPr>
        <vertAlign val="subscript"/>
        <sz val="10"/>
        <color theme="1"/>
        <rFont val="Arial"/>
        <family val="2"/>
      </rPr>
      <t>2</t>
    </r>
    <r>
      <rPr>
        <sz val="10"/>
        <color theme="1"/>
        <rFont val="Arial"/>
        <family val="2"/>
      </rPr>
      <t>O emissions from each manure management system (kg N</t>
    </r>
    <r>
      <rPr>
        <vertAlign val="subscript"/>
        <sz val="10"/>
        <color theme="1"/>
        <rFont val="Arial"/>
        <family val="2"/>
      </rPr>
      <t>2</t>
    </r>
    <r>
      <rPr>
        <sz val="10"/>
        <color theme="1"/>
        <rFont val="Arial"/>
        <family val="2"/>
      </rPr>
      <t>O-N/kg N)</t>
    </r>
  </si>
  <si>
    <r>
      <t>Tier 2 CH</t>
    </r>
    <r>
      <rPr>
        <vertAlign val="subscript"/>
        <sz val="10"/>
        <color theme="1"/>
        <rFont val="Arial"/>
        <family val="2"/>
      </rPr>
      <t>4</t>
    </r>
    <r>
      <rPr>
        <sz val="10"/>
        <color theme="1"/>
        <rFont val="Arial"/>
        <family val="2"/>
      </rPr>
      <t xml:space="preserve"> manure emissions</t>
    </r>
  </si>
  <si>
    <r>
      <t>Tier 2 Manure CH</t>
    </r>
    <r>
      <rPr>
        <vertAlign val="subscript"/>
        <sz val="10"/>
        <color theme="1"/>
        <rFont val="Arial"/>
        <family val="2"/>
      </rPr>
      <t>4</t>
    </r>
    <r>
      <rPr>
        <sz val="10"/>
        <color theme="1"/>
        <rFont val="Arial"/>
        <family val="2"/>
      </rPr>
      <t xml:space="preserve"> EF </t>
    </r>
  </si>
  <si>
    <r>
      <t>Tier 2 CH</t>
    </r>
    <r>
      <rPr>
        <vertAlign val="subscript"/>
        <sz val="10"/>
        <color theme="1"/>
        <rFont val="Arial"/>
        <family val="2"/>
      </rPr>
      <t>4</t>
    </r>
    <r>
      <rPr>
        <sz val="10"/>
        <color theme="1"/>
        <rFont val="Arial"/>
        <family val="2"/>
      </rPr>
      <t xml:space="preserve"> emissions from manure</t>
    </r>
  </si>
  <si>
    <r>
      <rPr>
        <i/>
        <sz val="10"/>
        <color theme="1"/>
        <rFont val="Arial"/>
        <family val="2"/>
      </rPr>
      <t>Country-specific Manure CH</t>
    </r>
    <r>
      <rPr>
        <i/>
        <vertAlign val="subscript"/>
        <sz val="10"/>
        <color theme="1"/>
        <rFont val="Arial"/>
        <family val="2"/>
      </rPr>
      <t>4</t>
    </r>
    <r>
      <rPr>
        <i/>
        <sz val="10"/>
        <color theme="1"/>
        <rFont val="Arial"/>
        <family val="2"/>
      </rPr>
      <t xml:space="preserve"> EF:</t>
    </r>
    <r>
      <rPr>
        <sz val="10"/>
        <color theme="1"/>
        <rFont val="Arial"/>
        <family val="2"/>
      </rPr>
      <t xml:space="preserve"> Based on climate relevant to location of manure mangaement, and on country-specific manure management systems (AWMS)</t>
    </r>
  </si>
  <si>
    <r>
      <t>Country-specific B0: Maximum CH</t>
    </r>
    <r>
      <rPr>
        <vertAlign val="subscript"/>
        <sz val="10"/>
        <color theme="1"/>
        <rFont val="Arial"/>
        <family val="2"/>
      </rPr>
      <t>4</t>
    </r>
    <r>
      <rPr>
        <sz val="10"/>
        <color theme="1"/>
        <rFont val="Arial"/>
        <family val="2"/>
      </rPr>
      <t xml:space="preserve"> producing capacity (m</t>
    </r>
    <r>
      <rPr>
        <vertAlign val="superscript"/>
        <sz val="10"/>
        <color theme="1"/>
        <rFont val="Arial"/>
        <family val="2"/>
      </rPr>
      <t xml:space="preserve">3 </t>
    </r>
    <r>
      <rPr>
        <sz val="10"/>
        <color theme="1"/>
        <rFont val="Arial"/>
        <family val="2"/>
      </rPr>
      <t>CH</t>
    </r>
    <r>
      <rPr>
        <vertAlign val="subscript"/>
        <sz val="10"/>
        <color theme="1"/>
        <rFont val="Arial"/>
        <family val="2"/>
      </rPr>
      <t>4</t>
    </r>
    <r>
      <rPr>
        <sz val="10"/>
        <color theme="1"/>
        <rFont val="Arial"/>
        <family val="2"/>
      </rPr>
      <t>/kg VS)</t>
    </r>
  </si>
  <si>
    <r>
      <t xml:space="preserve">Tier 2 </t>
    </r>
    <r>
      <rPr>
        <i/>
        <sz val="10"/>
        <color theme="1"/>
        <rFont val="Arial"/>
        <family val="2"/>
      </rPr>
      <t>Nex</t>
    </r>
    <r>
      <rPr>
        <sz val="10"/>
        <color theme="1"/>
        <rFont val="Arial"/>
        <family val="2"/>
      </rPr>
      <t xml:space="preserve"> (direct N</t>
    </r>
    <r>
      <rPr>
        <vertAlign val="subscript"/>
        <sz val="10"/>
        <color theme="1"/>
        <rFont val="Arial"/>
        <family val="2"/>
      </rPr>
      <t>2</t>
    </r>
    <r>
      <rPr>
        <sz val="10"/>
        <color theme="1"/>
        <rFont val="Arial"/>
        <family val="2"/>
      </rPr>
      <t>O and indirect N</t>
    </r>
    <r>
      <rPr>
        <vertAlign val="subscript"/>
        <sz val="10"/>
        <color theme="1"/>
        <rFont val="Arial"/>
        <family val="2"/>
      </rPr>
      <t>2</t>
    </r>
    <r>
      <rPr>
        <sz val="10"/>
        <color theme="1"/>
        <rFont val="Arial"/>
        <family val="2"/>
      </rPr>
      <t>O)</t>
    </r>
  </si>
  <si>
    <r>
      <t>Tier 2 direct N</t>
    </r>
    <r>
      <rPr>
        <vertAlign val="subscript"/>
        <sz val="10"/>
        <color theme="1"/>
        <rFont val="Arial"/>
        <family val="2"/>
      </rPr>
      <t>2</t>
    </r>
    <r>
      <rPr>
        <sz val="10"/>
        <color theme="1"/>
        <rFont val="Arial"/>
        <family val="2"/>
      </rPr>
      <t>O emissions from manure</t>
    </r>
  </si>
  <si>
    <r>
      <t>Tier 2 indirect N</t>
    </r>
    <r>
      <rPr>
        <vertAlign val="subscript"/>
        <sz val="10"/>
        <color theme="1"/>
        <rFont val="Arial"/>
        <family val="2"/>
      </rPr>
      <t>2</t>
    </r>
    <r>
      <rPr>
        <sz val="10"/>
        <color theme="1"/>
        <rFont val="Arial"/>
        <family val="2"/>
      </rPr>
      <t>O emissions from manure</t>
    </r>
  </si>
  <si>
    <r>
      <t>N</t>
    </r>
    <r>
      <rPr>
        <i/>
        <vertAlign val="subscript"/>
        <sz val="10"/>
        <color theme="1"/>
        <rFont val="Arial"/>
        <family val="2"/>
      </rPr>
      <t>Intake</t>
    </r>
  </si>
  <si>
    <r>
      <rPr>
        <i/>
        <sz val="10"/>
        <color theme="1"/>
        <rFont val="Arial"/>
        <family val="2"/>
      </rPr>
      <t>Country-specific EFs indirect N</t>
    </r>
    <r>
      <rPr>
        <i/>
        <vertAlign val="subscript"/>
        <sz val="10"/>
        <color theme="1"/>
        <rFont val="Arial"/>
        <family val="2"/>
      </rPr>
      <t>2</t>
    </r>
    <r>
      <rPr>
        <i/>
        <sz val="10"/>
        <color theme="1"/>
        <rFont val="Arial"/>
        <family val="2"/>
      </rPr>
      <t>O:</t>
    </r>
    <r>
      <rPr>
        <sz val="10"/>
        <color theme="1"/>
        <rFont val="Arial"/>
        <family val="2"/>
      </rPr>
      <t xml:space="preserve"> Country-specific emission factors based on country-specific manure management systems (AWMS), (unit depends on type of indirect N loss type)</t>
    </r>
  </si>
  <si>
    <r>
      <rPr>
        <i/>
        <sz val="10"/>
        <color theme="1"/>
        <rFont val="Arial"/>
        <family val="2"/>
      </rPr>
      <t>Country-specific EF direct N</t>
    </r>
    <r>
      <rPr>
        <i/>
        <vertAlign val="subscript"/>
        <sz val="10"/>
        <color theme="1"/>
        <rFont val="Arial"/>
        <family val="2"/>
      </rPr>
      <t>2</t>
    </r>
    <r>
      <rPr>
        <i/>
        <sz val="10"/>
        <color theme="1"/>
        <rFont val="Arial"/>
        <family val="2"/>
      </rPr>
      <t>O</t>
    </r>
    <r>
      <rPr>
        <sz val="10"/>
        <color theme="1"/>
        <rFont val="Arial"/>
        <family val="2"/>
      </rPr>
      <t>: Country-specific emission factors based on country-specific manure management systems (AWMS), (</t>
    </r>
    <r>
      <rPr>
        <i/>
        <sz val="10"/>
        <color theme="1"/>
        <rFont val="Arial"/>
        <family val="2"/>
      </rPr>
      <t>kg N</t>
    </r>
    <r>
      <rPr>
        <i/>
        <vertAlign val="subscript"/>
        <sz val="10"/>
        <color theme="1"/>
        <rFont val="Arial"/>
        <family val="2"/>
      </rPr>
      <t>2</t>
    </r>
    <r>
      <rPr>
        <i/>
        <sz val="10"/>
        <color theme="1"/>
        <rFont val="Arial"/>
        <family val="2"/>
      </rPr>
      <t>O/Kg N)</t>
    </r>
  </si>
  <si>
    <r>
      <rPr>
        <i/>
        <sz val="10"/>
        <color theme="1"/>
        <rFont val="Arial"/>
        <family val="2"/>
      </rPr>
      <t>N</t>
    </r>
    <r>
      <rPr>
        <i/>
        <vertAlign val="subscript"/>
        <sz val="10"/>
        <color theme="1"/>
        <rFont val="Arial"/>
        <family val="2"/>
      </rPr>
      <t>Intake</t>
    </r>
    <r>
      <rPr>
        <sz val="10"/>
        <color theme="1"/>
        <rFont val="Arial"/>
        <family val="2"/>
      </rPr>
      <t>: Daily N intake per head, per species and category, (kg N/animal/day)</t>
    </r>
  </si>
  <si>
    <t>ENTERIC FERMENTATION PARAMETERS AND DATA SOURCES</t>
  </si>
  <si>
    <r>
      <t>CH</t>
    </r>
    <r>
      <rPr>
        <vertAlign val="subscript"/>
        <sz val="10"/>
        <rFont val="Arial"/>
        <family val="2"/>
      </rPr>
      <t>4</t>
    </r>
  </si>
  <si>
    <r>
      <t>Converts CH</t>
    </r>
    <r>
      <rPr>
        <vertAlign val="subscript"/>
        <sz val="10"/>
        <rFont val="Arial"/>
        <family val="2"/>
      </rPr>
      <t xml:space="preserve">4 </t>
    </r>
    <r>
      <rPr>
        <sz val="10"/>
        <rFont val="Arial"/>
        <family val="2"/>
      </rPr>
      <t>to CO</t>
    </r>
    <r>
      <rPr>
        <vertAlign val="subscript"/>
        <sz val="10"/>
        <rFont val="Arial"/>
        <family val="2"/>
      </rPr>
      <t>2</t>
    </r>
    <r>
      <rPr>
        <sz val="10"/>
        <rFont val="Arial"/>
        <family val="2"/>
      </rPr>
      <t>e emissions</t>
    </r>
  </si>
  <si>
    <r>
      <t>100-yr GWP of CH</t>
    </r>
    <r>
      <rPr>
        <vertAlign val="subscript"/>
        <sz val="10"/>
        <color theme="1"/>
        <rFont val="Arial"/>
        <family val="2"/>
      </rPr>
      <t>4</t>
    </r>
  </si>
  <si>
    <r>
      <rPr>
        <i/>
        <sz val="10"/>
        <color theme="1"/>
        <rFont val="Arial"/>
        <family val="2"/>
      </rPr>
      <t>EF Enteric</t>
    </r>
    <r>
      <rPr>
        <sz val="10"/>
        <color theme="1"/>
        <rFont val="Arial"/>
        <family val="2"/>
      </rPr>
      <t>: Enteric Fermentation CH</t>
    </r>
    <r>
      <rPr>
        <vertAlign val="subscript"/>
        <sz val="10"/>
        <color theme="1"/>
        <rFont val="Arial"/>
        <family val="2"/>
      </rPr>
      <t xml:space="preserve">4 </t>
    </r>
    <r>
      <rPr>
        <sz val="10"/>
        <color theme="1"/>
        <rFont val="Arial"/>
        <family val="2"/>
      </rPr>
      <t>Emission Factor (kg CH</t>
    </r>
    <r>
      <rPr>
        <vertAlign val="subscript"/>
        <sz val="10"/>
        <color theme="1"/>
        <rFont val="Arial"/>
        <family val="2"/>
      </rPr>
      <t>4</t>
    </r>
    <r>
      <rPr>
        <sz val="10"/>
        <color theme="1"/>
        <rFont val="Arial"/>
        <family val="2"/>
      </rPr>
      <t>/head/year)</t>
    </r>
  </si>
  <si>
    <r>
      <rPr>
        <i/>
        <sz val="10"/>
        <color theme="1"/>
        <rFont val="Arial"/>
        <family val="2"/>
      </rPr>
      <t>BW (BWf and Bwi for sheep):</t>
    </r>
    <r>
      <rPr>
        <sz val="10"/>
        <color theme="1"/>
        <rFont val="Arial"/>
        <family val="2"/>
      </rPr>
      <t xml:space="preserve"> Average live weight of animals in population per category (kg)</t>
    </r>
  </si>
  <si>
    <r>
      <rPr>
        <i/>
        <sz val="10"/>
        <color theme="1"/>
        <rFont val="Arial"/>
        <family val="2"/>
      </rPr>
      <t>EF:</t>
    </r>
    <r>
      <rPr>
        <sz val="10"/>
        <color theme="1"/>
        <rFont val="Arial"/>
        <family val="2"/>
      </rPr>
      <t xml:space="preserve"> CH</t>
    </r>
    <r>
      <rPr>
        <vertAlign val="subscript"/>
        <sz val="10"/>
        <color theme="1"/>
        <rFont val="Arial"/>
        <family val="2"/>
      </rPr>
      <t>4</t>
    </r>
    <r>
      <rPr>
        <sz val="10"/>
        <color theme="1"/>
        <rFont val="Arial"/>
        <family val="2"/>
      </rPr>
      <t xml:space="preserve"> emission factor (kg CH</t>
    </r>
    <r>
      <rPr>
        <vertAlign val="subscript"/>
        <sz val="10"/>
        <color theme="1"/>
        <rFont val="Arial"/>
        <family val="2"/>
      </rPr>
      <t>4</t>
    </r>
    <r>
      <rPr>
        <sz val="10"/>
        <color theme="1"/>
        <rFont val="Arial"/>
        <family val="2"/>
      </rPr>
      <t>/head/yr)</t>
    </r>
  </si>
  <si>
    <r>
      <t>Emissions: CH</t>
    </r>
    <r>
      <rPr>
        <vertAlign val="subscript"/>
        <sz val="10"/>
        <color theme="1"/>
        <rFont val="Arial"/>
        <family val="2"/>
      </rPr>
      <t>4</t>
    </r>
    <r>
      <rPr>
        <sz val="10"/>
        <color theme="1"/>
        <rFont val="Arial"/>
        <family val="2"/>
      </rPr>
      <t xml:space="preserve"> Enteric fermentation</t>
    </r>
  </si>
  <si>
    <t>Total WAM-MED emissions</t>
  </si>
  <si>
    <t>Scenario: WAM-MED</t>
  </si>
  <si>
    <t>NUTRIENT PARAMETERS AND DATA SOURCES</t>
  </si>
  <si>
    <r>
      <t>Direct and indirect N</t>
    </r>
    <r>
      <rPr>
        <vertAlign val="subscript"/>
        <sz val="10"/>
        <color theme="1"/>
        <rFont val="Arial"/>
        <family val="2"/>
      </rPr>
      <t>2</t>
    </r>
    <r>
      <rPr>
        <sz val="10"/>
        <color theme="1"/>
        <rFont val="Arial"/>
        <family val="2"/>
      </rPr>
      <t>O from managed soils; CO</t>
    </r>
    <r>
      <rPr>
        <vertAlign val="subscript"/>
        <sz val="10"/>
        <color theme="1"/>
        <rFont val="Arial"/>
        <family val="2"/>
      </rPr>
      <t>2</t>
    </r>
    <r>
      <rPr>
        <sz val="10"/>
        <color theme="1"/>
        <rFont val="Arial"/>
        <family val="2"/>
      </rPr>
      <t xml:space="preserve"> emissions from urea</t>
    </r>
  </si>
  <si>
    <r>
      <t>Tier 2 direct N</t>
    </r>
    <r>
      <rPr>
        <vertAlign val="subscript"/>
        <sz val="10"/>
        <color theme="1"/>
        <rFont val="Arial"/>
        <family val="2"/>
      </rPr>
      <t>2</t>
    </r>
    <r>
      <rPr>
        <sz val="10"/>
        <color theme="1"/>
        <rFont val="Arial"/>
        <family val="2"/>
      </rPr>
      <t>O emissions from fertiliser inputs to managed soils, &amp;
Tier 2 indirect N</t>
    </r>
    <r>
      <rPr>
        <vertAlign val="subscript"/>
        <sz val="10"/>
        <color theme="1"/>
        <rFont val="Arial"/>
        <family val="2"/>
      </rPr>
      <t>2</t>
    </r>
    <r>
      <rPr>
        <sz val="10"/>
        <color theme="1"/>
        <rFont val="Arial"/>
        <family val="2"/>
      </rPr>
      <t>O emissions from fertiliser inputs to managed soils, from volatilisation, leaching and runoff</t>
    </r>
  </si>
  <si>
    <r>
      <t xml:space="preserve">Country-specific EF's for one or multiple of </t>
    </r>
    <r>
      <rPr>
        <i/>
        <sz val="10"/>
        <rFont val="Arial"/>
        <family val="2"/>
      </rPr>
      <t>FSN</t>
    </r>
    <r>
      <rPr>
        <sz val="10"/>
        <rFont val="Arial"/>
        <family val="2"/>
      </rPr>
      <t xml:space="preserve">, </t>
    </r>
    <r>
      <rPr>
        <i/>
        <sz val="10"/>
        <rFont val="Arial"/>
        <family val="2"/>
      </rPr>
      <t>FON</t>
    </r>
    <r>
      <rPr>
        <sz val="10"/>
        <rFont val="Arial"/>
        <family val="2"/>
      </rPr>
      <t xml:space="preserve"> or </t>
    </r>
    <r>
      <rPr>
        <i/>
        <sz val="10"/>
        <rFont val="Arial"/>
        <family val="2"/>
      </rPr>
      <t>FPRP</t>
    </r>
    <r>
      <rPr>
        <sz val="10"/>
        <rFont val="Arial"/>
        <family val="2"/>
      </rPr>
      <t xml:space="preserve"> (i.e., country-specific EF for </t>
    </r>
    <r>
      <rPr>
        <i/>
        <sz val="10"/>
        <rFont val="Arial"/>
        <family val="2"/>
      </rPr>
      <t>EF</t>
    </r>
    <r>
      <rPr>
        <i/>
        <vertAlign val="subscript"/>
        <sz val="10"/>
        <rFont val="Arial"/>
        <family val="2"/>
      </rPr>
      <t>3</t>
    </r>
    <r>
      <rPr>
        <i/>
        <sz val="10"/>
        <rFont val="Arial"/>
        <family val="2"/>
      </rPr>
      <t>PRP</t>
    </r>
    <r>
      <rPr>
        <sz val="10"/>
        <rFont val="Arial"/>
        <family val="2"/>
      </rPr>
      <t xml:space="preserve">, </t>
    </r>
    <r>
      <rPr>
        <i/>
        <sz val="10"/>
        <rFont val="Arial"/>
        <family val="2"/>
      </rPr>
      <t>EF</t>
    </r>
    <r>
      <rPr>
        <i/>
        <vertAlign val="subscript"/>
        <sz val="10"/>
        <rFont val="Arial"/>
        <family val="2"/>
      </rPr>
      <t>4</t>
    </r>
    <r>
      <rPr>
        <sz val="10"/>
        <rFont val="Arial"/>
        <family val="2"/>
      </rPr>
      <t xml:space="preserve"> and/or </t>
    </r>
    <r>
      <rPr>
        <i/>
        <sz val="10"/>
        <rFont val="Arial"/>
        <family val="2"/>
      </rPr>
      <t>EF</t>
    </r>
    <r>
      <rPr>
        <i/>
        <vertAlign val="subscript"/>
        <sz val="10"/>
        <rFont val="Arial"/>
        <family val="2"/>
      </rPr>
      <t>5</t>
    </r>
    <r>
      <rPr>
        <sz val="10"/>
        <rFont val="Arial"/>
        <family val="2"/>
      </rPr>
      <t>; urea CO</t>
    </r>
    <r>
      <rPr>
        <vertAlign val="subscript"/>
        <sz val="10"/>
        <rFont val="Arial"/>
        <family val="2"/>
      </rPr>
      <t>2</t>
    </r>
    <r>
      <rPr>
        <sz val="10"/>
        <rFont val="Arial"/>
        <family val="2"/>
      </rPr>
      <t xml:space="preserve"> emission factor): (kg N</t>
    </r>
    <r>
      <rPr>
        <vertAlign val="subscript"/>
        <sz val="10"/>
        <rFont val="Arial"/>
        <family val="2"/>
      </rPr>
      <t>2</t>
    </r>
    <r>
      <rPr>
        <sz val="10"/>
        <rFont val="Arial"/>
        <family val="2"/>
      </rPr>
      <t>O-N/kg N added / volatilised / leached and runoff)</t>
    </r>
  </si>
  <si>
    <r>
      <t>Further disaggregation of all parameters outlined for estimation of direct and indirect N</t>
    </r>
    <r>
      <rPr>
        <vertAlign val="subscript"/>
        <sz val="10"/>
        <color theme="1"/>
        <rFont val="Arial"/>
        <family val="2"/>
      </rPr>
      <t>2</t>
    </r>
    <r>
      <rPr>
        <sz val="10"/>
        <color theme="1"/>
        <rFont val="Arial"/>
        <family val="2"/>
      </rPr>
      <t>O from managed soils, by conditions specific to the regions of each type of fertiliser. Disaggregation by relevant characteristics such as crop types, by environmental zones, different fertilizer types, climate, or topography, depending on importance of each of these for the country and emission reduction policy success.</t>
    </r>
  </si>
  <si>
    <r>
      <t>100-yr GWP of N</t>
    </r>
    <r>
      <rPr>
        <vertAlign val="subscript"/>
        <sz val="10"/>
        <color theme="1"/>
        <rFont val="Arial"/>
        <family val="2"/>
      </rPr>
      <t>2</t>
    </r>
    <r>
      <rPr>
        <sz val="10"/>
        <color theme="1"/>
        <rFont val="Arial"/>
        <family val="2"/>
      </rPr>
      <t>O</t>
    </r>
  </si>
  <si>
    <r>
      <t>Converts N</t>
    </r>
    <r>
      <rPr>
        <vertAlign val="subscript"/>
        <sz val="10"/>
        <rFont val="Arial"/>
        <family val="2"/>
      </rPr>
      <t>2</t>
    </r>
    <r>
      <rPr>
        <sz val="10"/>
        <rFont val="Arial"/>
        <family val="2"/>
      </rPr>
      <t>O to CO</t>
    </r>
    <r>
      <rPr>
        <vertAlign val="subscript"/>
        <sz val="10"/>
        <rFont val="Arial"/>
        <family val="2"/>
      </rPr>
      <t>2</t>
    </r>
    <r>
      <rPr>
        <sz val="10"/>
        <rFont val="Arial"/>
        <family val="2"/>
      </rPr>
      <t>e emissions</t>
    </r>
  </si>
  <si>
    <r>
      <t>Direct N</t>
    </r>
    <r>
      <rPr>
        <vertAlign val="subscript"/>
        <sz val="10"/>
        <color theme="1"/>
        <rFont val="Arial"/>
        <family val="2"/>
      </rPr>
      <t>2</t>
    </r>
    <r>
      <rPr>
        <sz val="10"/>
        <color theme="1"/>
        <rFont val="Arial"/>
        <family val="2"/>
      </rPr>
      <t>O, indirect N</t>
    </r>
    <r>
      <rPr>
        <vertAlign val="subscript"/>
        <sz val="10"/>
        <color theme="1"/>
        <rFont val="Arial"/>
        <family val="2"/>
      </rPr>
      <t>2</t>
    </r>
    <r>
      <rPr>
        <sz val="10"/>
        <color theme="1"/>
        <rFont val="Arial"/>
        <family val="2"/>
      </rPr>
      <t>O</t>
    </r>
  </si>
  <si>
    <r>
      <t>CO</t>
    </r>
    <r>
      <rPr>
        <vertAlign val="subscript"/>
        <sz val="10"/>
        <color theme="1"/>
        <rFont val="Arial"/>
        <family val="2"/>
      </rPr>
      <t>2</t>
    </r>
  </si>
  <si>
    <r>
      <t>Tier 1&amp;2 Direct N</t>
    </r>
    <r>
      <rPr>
        <vertAlign val="subscript"/>
        <sz val="10"/>
        <color theme="1"/>
        <rFont val="Arial"/>
        <family val="2"/>
      </rPr>
      <t>2</t>
    </r>
    <r>
      <rPr>
        <sz val="10"/>
        <color theme="1"/>
        <rFont val="Arial"/>
        <family val="2"/>
      </rPr>
      <t>O emissions from managed soils</t>
    </r>
  </si>
  <si>
    <r>
      <t>Tier 1 Direct N</t>
    </r>
    <r>
      <rPr>
        <vertAlign val="subscript"/>
        <sz val="10"/>
        <color theme="1"/>
        <rFont val="Arial"/>
        <family val="2"/>
      </rPr>
      <t>2</t>
    </r>
    <r>
      <rPr>
        <sz val="10"/>
        <color theme="1"/>
        <rFont val="Arial"/>
        <family val="2"/>
      </rPr>
      <t>O emissions from managed soils</t>
    </r>
  </si>
  <si>
    <r>
      <t>Converts CO</t>
    </r>
    <r>
      <rPr>
        <vertAlign val="subscript"/>
        <sz val="10"/>
        <rFont val="Arial"/>
        <family val="2"/>
      </rPr>
      <t>2</t>
    </r>
    <r>
      <rPr>
        <sz val="10"/>
        <rFont val="Arial"/>
        <family val="2"/>
      </rPr>
      <t>-C to CO</t>
    </r>
    <r>
      <rPr>
        <vertAlign val="subscript"/>
        <sz val="10"/>
        <rFont val="Arial"/>
        <family val="2"/>
      </rPr>
      <t>2</t>
    </r>
  </si>
  <si>
    <r>
      <t>Converts N</t>
    </r>
    <r>
      <rPr>
        <vertAlign val="subscript"/>
        <sz val="10"/>
        <rFont val="Arial"/>
        <family val="2"/>
      </rPr>
      <t>2</t>
    </r>
    <r>
      <rPr>
        <sz val="10"/>
        <rFont val="Arial"/>
        <family val="2"/>
      </rPr>
      <t>O-N to N</t>
    </r>
    <r>
      <rPr>
        <vertAlign val="subscript"/>
        <sz val="10"/>
        <rFont val="Arial"/>
        <family val="2"/>
      </rPr>
      <t>2</t>
    </r>
    <r>
      <rPr>
        <sz val="10"/>
        <rFont val="Arial"/>
        <family val="2"/>
      </rPr>
      <t>O</t>
    </r>
  </si>
  <si>
    <r>
      <rPr>
        <i/>
        <sz val="10"/>
        <rFont val="Arial"/>
        <family val="2"/>
      </rPr>
      <t xml:space="preserve">Conversion factor: </t>
    </r>
    <r>
      <rPr>
        <sz val="10"/>
        <rFont val="Arial"/>
        <family val="2"/>
      </rPr>
      <t>Ratio of the molecular weight of N</t>
    </r>
    <r>
      <rPr>
        <vertAlign val="subscript"/>
        <sz val="10"/>
        <rFont val="Arial"/>
        <family val="2"/>
      </rPr>
      <t>2</t>
    </r>
    <r>
      <rPr>
        <sz val="10"/>
        <rFont val="Arial"/>
        <family val="2"/>
      </rPr>
      <t>O-N to N</t>
    </r>
    <r>
      <rPr>
        <vertAlign val="subscript"/>
        <sz val="10"/>
        <rFont val="Arial"/>
        <family val="2"/>
      </rPr>
      <t>2</t>
    </r>
    <r>
      <rPr>
        <sz val="10"/>
        <rFont val="Arial"/>
        <family val="2"/>
      </rPr>
      <t>O (44/28)</t>
    </r>
  </si>
  <si>
    <r>
      <rPr>
        <i/>
        <sz val="10"/>
        <rFont val="Arial"/>
        <family val="2"/>
      </rPr>
      <t xml:space="preserve">Conversion factor: </t>
    </r>
    <r>
      <rPr>
        <sz val="10"/>
        <rFont val="Arial"/>
        <family val="2"/>
      </rPr>
      <t>Ratio of the molecular weight of CO2-C to CO</t>
    </r>
    <r>
      <rPr>
        <vertAlign val="subscript"/>
        <sz val="10"/>
        <rFont val="Arial"/>
        <family val="2"/>
      </rPr>
      <t>2</t>
    </r>
    <r>
      <rPr>
        <sz val="10"/>
        <rFont val="Arial"/>
        <family val="2"/>
      </rPr>
      <t xml:space="preserve"> (44/12)</t>
    </r>
  </si>
  <si>
    <r>
      <rPr>
        <i/>
        <sz val="10"/>
        <color theme="1"/>
        <rFont val="Arial"/>
        <family val="2"/>
      </rPr>
      <t>EF5:</t>
    </r>
    <r>
      <rPr>
        <sz val="10"/>
        <color theme="1"/>
        <rFont val="Arial"/>
        <family val="2"/>
      </rPr>
      <t xml:space="preserve"> Emission factor for N</t>
    </r>
    <r>
      <rPr>
        <vertAlign val="subscript"/>
        <sz val="10"/>
        <color theme="1"/>
        <rFont val="Arial"/>
        <family val="2"/>
      </rPr>
      <t>2</t>
    </r>
    <r>
      <rPr>
        <sz val="10"/>
        <color theme="1"/>
        <rFont val="Arial"/>
        <family val="2"/>
      </rPr>
      <t>O emissions from N leaching and runoff, (kg N</t>
    </r>
    <r>
      <rPr>
        <vertAlign val="subscript"/>
        <sz val="10"/>
        <color theme="1"/>
        <rFont val="Arial"/>
        <family val="2"/>
      </rPr>
      <t>2</t>
    </r>
    <r>
      <rPr>
        <sz val="10"/>
        <color theme="1"/>
        <rFont val="Arial"/>
        <family val="2"/>
      </rPr>
      <t>O-N/kg N leached and runoff)</t>
    </r>
  </si>
  <si>
    <r>
      <rPr>
        <i/>
        <sz val="10"/>
        <rFont val="Arial"/>
        <family val="2"/>
      </rPr>
      <t>EF4:</t>
    </r>
    <r>
      <rPr>
        <sz val="10"/>
        <rFont val="Arial"/>
        <family val="2"/>
      </rPr>
      <t xml:space="preserve"> Emission factor for N</t>
    </r>
    <r>
      <rPr>
        <vertAlign val="subscript"/>
        <sz val="10"/>
        <rFont val="Arial"/>
        <family val="2"/>
      </rPr>
      <t>2</t>
    </r>
    <r>
      <rPr>
        <sz val="10"/>
        <rFont val="Arial"/>
        <family val="2"/>
      </rPr>
      <t>O emissions from atmospheric deposition of N on soils and water surfaces (kg N</t>
    </r>
    <r>
      <rPr>
        <vertAlign val="subscript"/>
        <sz val="10"/>
        <rFont val="Arial"/>
        <family val="2"/>
      </rPr>
      <t>2</t>
    </r>
    <r>
      <rPr>
        <sz val="10"/>
        <rFont val="Arial"/>
        <family val="2"/>
      </rPr>
      <t>O-N/kg NH</t>
    </r>
    <r>
      <rPr>
        <vertAlign val="subscript"/>
        <sz val="10"/>
        <rFont val="Arial"/>
        <family val="2"/>
      </rPr>
      <t>3</t>
    </r>
    <r>
      <rPr>
        <sz val="10"/>
        <rFont val="Arial"/>
        <family val="2"/>
      </rPr>
      <t>-N + NO</t>
    </r>
    <r>
      <rPr>
        <vertAlign val="subscript"/>
        <sz val="10"/>
        <rFont val="Arial"/>
        <family val="2"/>
      </rPr>
      <t>x</t>
    </r>
    <r>
      <rPr>
        <sz val="10"/>
        <rFont val="Arial"/>
        <family val="2"/>
      </rPr>
      <t>-N volatilised)</t>
    </r>
  </si>
  <si>
    <r>
      <rPr>
        <i/>
        <sz val="10"/>
        <rFont val="Arial"/>
        <family val="2"/>
      </rPr>
      <t>FracGASM</t>
    </r>
    <r>
      <rPr>
        <sz val="10"/>
        <rFont val="Arial"/>
        <family val="2"/>
      </rPr>
      <t>: Fraction of FON and of FPRP that volatilises as NH</t>
    </r>
    <r>
      <rPr>
        <vertAlign val="subscript"/>
        <sz val="10"/>
        <rFont val="Arial"/>
        <family val="2"/>
      </rPr>
      <t>3</t>
    </r>
    <r>
      <rPr>
        <sz val="10"/>
        <rFont val="Arial"/>
        <family val="2"/>
      </rPr>
      <t xml:space="preserve"> and NO</t>
    </r>
    <r>
      <rPr>
        <vertAlign val="subscript"/>
        <sz val="10"/>
        <rFont val="Arial"/>
        <family val="2"/>
      </rPr>
      <t>x</t>
    </r>
    <r>
      <rPr>
        <sz val="10"/>
        <rFont val="Arial"/>
        <family val="2"/>
      </rPr>
      <t>, kg N volatilised (kg N volatilised/kg of N applied
or deposited)</t>
    </r>
  </si>
  <si>
    <r>
      <rPr>
        <i/>
        <sz val="10"/>
        <rFont val="Arial"/>
        <family val="2"/>
      </rPr>
      <t>FracGASF:</t>
    </r>
    <r>
      <rPr>
        <sz val="10"/>
        <rFont val="Arial"/>
        <family val="2"/>
      </rPr>
      <t xml:space="preserve"> Fraction of FSN that volatilises as NH</t>
    </r>
    <r>
      <rPr>
        <vertAlign val="subscript"/>
        <sz val="10"/>
        <rFont val="Arial"/>
        <family val="2"/>
      </rPr>
      <t>3</t>
    </r>
    <r>
      <rPr>
        <sz val="10"/>
        <rFont val="Arial"/>
        <family val="2"/>
      </rPr>
      <t xml:space="preserve"> and Nox (kg N volatilised/kg of N applied)</t>
    </r>
  </si>
  <si>
    <r>
      <rPr>
        <i/>
        <sz val="10"/>
        <rFont val="Arial"/>
        <family val="2"/>
      </rPr>
      <t>EF3PRP</t>
    </r>
    <r>
      <rPr>
        <sz val="10"/>
        <rFont val="Arial"/>
        <family val="2"/>
      </rPr>
      <t>: Emission factor for N</t>
    </r>
    <r>
      <rPr>
        <vertAlign val="subscript"/>
        <sz val="10"/>
        <rFont val="Arial"/>
        <family val="2"/>
      </rPr>
      <t>2</t>
    </r>
    <r>
      <rPr>
        <sz val="10"/>
        <rFont val="Arial"/>
        <family val="2"/>
      </rPr>
      <t>O emissions from N inputs from manure deposited directly onto pasture, (kg N</t>
    </r>
    <r>
      <rPr>
        <vertAlign val="subscript"/>
        <sz val="10"/>
        <rFont val="Arial"/>
        <family val="2"/>
      </rPr>
      <t>2</t>
    </r>
    <r>
      <rPr>
        <sz val="10"/>
        <rFont val="Arial"/>
        <family val="2"/>
      </rPr>
      <t>O-N/kg N)</t>
    </r>
  </si>
  <si>
    <r>
      <rPr>
        <i/>
        <sz val="10"/>
        <color theme="1"/>
        <rFont val="Arial"/>
        <family val="2"/>
      </rPr>
      <t>EF1</t>
    </r>
    <r>
      <rPr>
        <sz val="10"/>
        <color theme="1"/>
        <rFont val="Arial"/>
        <family val="2"/>
      </rPr>
      <t>: Emission factor for N</t>
    </r>
    <r>
      <rPr>
        <vertAlign val="subscript"/>
        <sz val="10"/>
        <color theme="1"/>
        <rFont val="Arial"/>
        <family val="2"/>
      </rPr>
      <t>2</t>
    </r>
    <r>
      <rPr>
        <sz val="10"/>
        <color theme="1"/>
        <rFont val="Arial"/>
        <family val="2"/>
      </rPr>
      <t>O emissions from N inputs from synthetic and organic fertilisers (kg N</t>
    </r>
    <r>
      <rPr>
        <vertAlign val="subscript"/>
        <sz val="10"/>
        <color theme="1"/>
        <rFont val="Arial"/>
        <family val="2"/>
      </rPr>
      <t>2</t>
    </r>
    <r>
      <rPr>
        <sz val="10"/>
        <color theme="1"/>
        <rFont val="Arial"/>
        <family val="2"/>
      </rPr>
      <t>O-N/kg N input/yr)</t>
    </r>
  </si>
  <si>
    <r>
      <rPr>
        <i/>
        <sz val="10"/>
        <color theme="1"/>
        <rFont val="Arial"/>
        <family val="2"/>
      </rPr>
      <t>N, Nex, MS</t>
    </r>
    <r>
      <rPr>
        <sz val="10"/>
        <color theme="1"/>
        <rFont val="Arial"/>
        <family val="2"/>
      </rPr>
      <t xml:space="preserve">: All inputs to calculate FPRP. </t>
    </r>
    <r>
      <rPr>
        <i/>
        <sz val="10"/>
        <color theme="1"/>
        <rFont val="Arial"/>
        <family val="2"/>
      </rPr>
      <t xml:space="preserve">N </t>
    </r>
    <r>
      <rPr>
        <sz val="10"/>
        <color theme="1"/>
        <rFont val="Arial"/>
        <family val="2"/>
      </rPr>
      <t xml:space="preserve">is the number of livestock, per species and category. 
</t>
    </r>
    <r>
      <rPr>
        <i/>
        <sz val="10"/>
        <color theme="1"/>
        <rFont val="Arial"/>
        <family val="2"/>
      </rPr>
      <t>Nex</t>
    </r>
    <r>
      <rPr>
        <sz val="10"/>
        <color theme="1"/>
        <rFont val="Arial"/>
        <family val="2"/>
      </rPr>
      <t xml:space="preserve"> is the N excreted per species and category in kg N per 1000 kg animal mass. 
</t>
    </r>
    <r>
      <rPr>
        <i/>
        <sz val="10"/>
        <color theme="1"/>
        <rFont val="Arial"/>
        <family val="2"/>
      </rPr>
      <t>MS</t>
    </r>
    <r>
      <rPr>
        <sz val="10"/>
        <color theme="1"/>
        <rFont val="Arial"/>
        <family val="2"/>
      </rPr>
      <t xml:space="preserve"> is the proportion of Nex that is deposited directly onto pasture.</t>
    </r>
  </si>
  <si>
    <r>
      <t>Direct N</t>
    </r>
    <r>
      <rPr>
        <vertAlign val="subscript"/>
        <sz val="10"/>
        <color theme="1"/>
        <rFont val="Arial"/>
        <family val="2"/>
      </rPr>
      <t>2</t>
    </r>
    <r>
      <rPr>
        <sz val="10"/>
        <color theme="1"/>
        <rFont val="Arial"/>
        <family val="2"/>
      </rPr>
      <t>O from managed soils &amp;
Indirect N</t>
    </r>
    <r>
      <rPr>
        <vertAlign val="subscript"/>
        <sz val="10"/>
        <color theme="1"/>
        <rFont val="Arial"/>
        <family val="2"/>
      </rPr>
      <t>2</t>
    </r>
    <r>
      <rPr>
        <sz val="10"/>
        <color theme="1"/>
        <rFont val="Arial"/>
        <family val="2"/>
      </rPr>
      <t>O from managed soils</t>
    </r>
  </si>
  <si>
    <t>CARBON STOCKS PARAMETERS AND DATA SOURCES</t>
  </si>
  <si>
    <r>
      <rPr>
        <i/>
        <sz val="10"/>
        <rFont val="Arial"/>
        <family val="2"/>
      </rPr>
      <t xml:space="preserve">Conversion factor: </t>
    </r>
    <r>
      <rPr>
        <sz val="10"/>
        <rFont val="Arial"/>
        <family val="2"/>
      </rPr>
      <t>Ratio of the molecular weight of CO</t>
    </r>
    <r>
      <rPr>
        <vertAlign val="subscript"/>
        <sz val="10"/>
        <rFont val="Arial"/>
        <family val="2"/>
      </rPr>
      <t>2</t>
    </r>
    <r>
      <rPr>
        <sz val="10"/>
        <rFont val="Arial"/>
        <family val="2"/>
      </rPr>
      <t xml:space="preserve"> to carbon (44/12)</t>
    </r>
  </si>
  <si>
    <r>
      <t>Converts carbon stock to CO</t>
    </r>
    <r>
      <rPr>
        <vertAlign val="subscript"/>
        <sz val="10"/>
        <rFont val="Arial"/>
        <family val="2"/>
      </rPr>
      <t>2</t>
    </r>
    <r>
      <rPr>
        <sz val="10"/>
        <rFont val="Arial"/>
        <family val="2"/>
      </rPr>
      <t>e emissions</t>
    </r>
  </si>
  <si>
    <r>
      <t>Rice Direct N</t>
    </r>
    <r>
      <rPr>
        <b/>
        <vertAlign val="subscript"/>
        <sz val="12"/>
        <color theme="1"/>
        <rFont val="Arial"/>
        <family val="2"/>
      </rPr>
      <t>2</t>
    </r>
    <r>
      <rPr>
        <b/>
        <sz val="12"/>
        <color theme="1"/>
        <rFont val="Arial"/>
        <family val="2"/>
      </rPr>
      <t>O emissions (Gg CO</t>
    </r>
    <r>
      <rPr>
        <b/>
        <vertAlign val="subscript"/>
        <sz val="12"/>
        <color theme="1"/>
        <rFont val="Arial"/>
        <family val="2"/>
      </rPr>
      <t>2</t>
    </r>
    <r>
      <rPr>
        <b/>
        <sz val="12"/>
        <color theme="1"/>
        <rFont val="Arial"/>
        <family val="2"/>
      </rPr>
      <t>e)</t>
    </r>
  </si>
  <si>
    <r>
      <t>Rice CH</t>
    </r>
    <r>
      <rPr>
        <b/>
        <vertAlign val="subscript"/>
        <sz val="12"/>
        <color theme="1"/>
        <rFont val="Arial"/>
        <family val="2"/>
      </rPr>
      <t>4</t>
    </r>
    <r>
      <rPr>
        <b/>
        <sz val="12"/>
        <color theme="1"/>
        <rFont val="Arial"/>
        <family val="2"/>
      </rPr>
      <t xml:space="preserve"> emissions (Gg CO</t>
    </r>
    <r>
      <rPr>
        <b/>
        <vertAlign val="subscript"/>
        <sz val="12"/>
        <color theme="1"/>
        <rFont val="Arial"/>
        <family val="2"/>
      </rPr>
      <t>2</t>
    </r>
    <r>
      <rPr>
        <b/>
        <sz val="12"/>
        <color theme="1"/>
        <rFont val="Arial"/>
        <family val="2"/>
      </rPr>
      <t>e)</t>
    </r>
  </si>
  <si>
    <r>
      <t>Total GHG emissions (Gg CO</t>
    </r>
    <r>
      <rPr>
        <vertAlign val="subscript"/>
        <sz val="12"/>
        <color theme="1"/>
        <rFont val="Arial"/>
        <family val="2"/>
      </rPr>
      <t>2</t>
    </r>
    <r>
      <rPr>
        <sz val="12"/>
        <color theme="1"/>
        <rFont val="Arial"/>
        <family val="2"/>
      </rPr>
      <t>e)</t>
    </r>
  </si>
  <si>
    <r>
      <t>Total GHG emissions (Gg CO</t>
    </r>
    <r>
      <rPr>
        <b/>
        <vertAlign val="subscript"/>
        <sz val="12"/>
        <color theme="1"/>
        <rFont val="Arial"/>
        <family val="2"/>
      </rPr>
      <t>2</t>
    </r>
    <r>
      <rPr>
        <b/>
        <sz val="12"/>
        <color theme="1"/>
        <rFont val="Arial"/>
        <family val="2"/>
      </rPr>
      <t>e</t>
    </r>
    <r>
      <rPr>
        <sz val="12"/>
        <color theme="1"/>
        <rFont val="Arial"/>
        <family val="2"/>
      </rPr>
      <t>)</t>
    </r>
  </si>
  <si>
    <t>Scenario: WAM</t>
  </si>
  <si>
    <r>
      <t>Rice Direct N</t>
    </r>
    <r>
      <rPr>
        <vertAlign val="subscript"/>
        <sz val="12"/>
        <color theme="1"/>
        <rFont val="Arial"/>
        <family val="2"/>
      </rPr>
      <t>2</t>
    </r>
    <r>
      <rPr>
        <sz val="12"/>
        <color theme="1"/>
        <rFont val="Arial"/>
        <family val="2"/>
      </rPr>
      <t>O emissions (Gg CO</t>
    </r>
    <r>
      <rPr>
        <vertAlign val="subscript"/>
        <sz val="12"/>
        <color theme="1"/>
        <rFont val="Arial"/>
        <family val="2"/>
      </rPr>
      <t>2</t>
    </r>
    <r>
      <rPr>
        <sz val="12"/>
        <color theme="1"/>
        <rFont val="Arial"/>
        <family val="2"/>
      </rPr>
      <t>e)</t>
    </r>
  </si>
  <si>
    <r>
      <t>Rice CH</t>
    </r>
    <r>
      <rPr>
        <vertAlign val="subscript"/>
        <sz val="12"/>
        <color theme="1"/>
        <rFont val="Arial"/>
        <family val="2"/>
      </rPr>
      <t>4</t>
    </r>
    <r>
      <rPr>
        <sz val="12"/>
        <color theme="1"/>
        <rFont val="Arial"/>
        <family val="2"/>
      </rPr>
      <t xml:space="preserve"> emissions (Gg CO</t>
    </r>
    <r>
      <rPr>
        <vertAlign val="subscript"/>
        <sz val="12"/>
        <color theme="1"/>
        <rFont val="Arial"/>
        <family val="2"/>
      </rPr>
      <t>2</t>
    </r>
    <r>
      <rPr>
        <sz val="12"/>
        <color theme="1"/>
        <rFont val="Arial"/>
        <family val="2"/>
      </rPr>
      <t>e)</t>
    </r>
  </si>
  <si>
    <t>Manure management systems</t>
  </si>
  <si>
    <t>Enteric fermentation</t>
  </si>
  <si>
    <t>Farm and cattle data</t>
  </si>
  <si>
    <r>
      <t>WOM manure CH</t>
    </r>
    <r>
      <rPr>
        <vertAlign val="subscript"/>
        <sz val="12"/>
        <color theme="1"/>
        <rFont val="Arial"/>
        <family val="2"/>
      </rPr>
      <t>4</t>
    </r>
    <r>
      <rPr>
        <sz val="12"/>
        <color theme="1"/>
        <rFont val="Arial"/>
        <family val="2"/>
      </rPr>
      <t xml:space="preserve"> emissions; other cattle</t>
    </r>
  </si>
  <si>
    <r>
      <t>WOM manure CH</t>
    </r>
    <r>
      <rPr>
        <vertAlign val="subscript"/>
        <sz val="12"/>
        <color theme="1"/>
        <rFont val="Arial"/>
        <family val="2"/>
      </rPr>
      <t>4</t>
    </r>
    <r>
      <rPr>
        <sz val="12"/>
        <color theme="1"/>
        <rFont val="Arial"/>
        <family val="2"/>
      </rPr>
      <t xml:space="preserve"> emissions; dairy cattle</t>
    </r>
  </si>
  <si>
    <r>
      <t>WAM-HIGH enteric fermentation CH</t>
    </r>
    <r>
      <rPr>
        <vertAlign val="subscript"/>
        <sz val="12"/>
        <color theme="1"/>
        <rFont val="Arial"/>
        <family val="2"/>
      </rPr>
      <t>4</t>
    </r>
    <r>
      <rPr>
        <sz val="12"/>
        <color theme="1"/>
        <rFont val="Arial"/>
        <family val="2"/>
      </rPr>
      <t xml:space="preserve"> emissions; dairy and other cattle</t>
    </r>
  </si>
  <si>
    <r>
      <t>WAM-HIGH manure CH</t>
    </r>
    <r>
      <rPr>
        <vertAlign val="subscript"/>
        <sz val="12"/>
        <color theme="1"/>
        <rFont val="Arial"/>
        <family val="2"/>
      </rPr>
      <t>4</t>
    </r>
    <r>
      <rPr>
        <sz val="12"/>
        <color theme="1"/>
        <rFont val="Arial"/>
        <family val="2"/>
      </rPr>
      <t xml:space="preserve"> emissions; dairy cattle</t>
    </r>
  </si>
  <si>
    <r>
      <t>WAM-HIGH manure CH</t>
    </r>
    <r>
      <rPr>
        <vertAlign val="subscript"/>
        <sz val="12"/>
        <color theme="1"/>
        <rFont val="Arial"/>
        <family val="2"/>
      </rPr>
      <t>4</t>
    </r>
    <r>
      <rPr>
        <sz val="12"/>
        <color theme="1"/>
        <rFont val="Arial"/>
        <family val="2"/>
      </rPr>
      <t xml:space="preserve"> emissions; other cattle</t>
    </r>
  </si>
  <si>
    <r>
      <t>WAM-HIGH manure CH</t>
    </r>
    <r>
      <rPr>
        <vertAlign val="subscript"/>
        <sz val="12"/>
        <color theme="1"/>
        <rFont val="Arial"/>
        <family val="2"/>
      </rPr>
      <t>4</t>
    </r>
    <r>
      <rPr>
        <sz val="12"/>
        <color theme="1"/>
        <rFont val="Arial"/>
        <family val="2"/>
      </rPr>
      <t xml:space="preserve"> emissions; dairy and other cattler</t>
    </r>
  </si>
  <si>
    <r>
      <t>WAM-LOW enteric fermentation CH</t>
    </r>
    <r>
      <rPr>
        <vertAlign val="subscript"/>
        <sz val="12"/>
        <color theme="1"/>
        <rFont val="Arial"/>
        <family val="2"/>
      </rPr>
      <t>4</t>
    </r>
    <r>
      <rPr>
        <sz val="12"/>
        <color theme="1"/>
        <rFont val="Arial"/>
        <family val="2"/>
      </rPr>
      <t xml:space="preserve"> emissions; dairy and other cattle</t>
    </r>
  </si>
  <si>
    <r>
      <t>WAM-LOW manure CH</t>
    </r>
    <r>
      <rPr>
        <vertAlign val="subscript"/>
        <sz val="12"/>
        <color theme="1"/>
        <rFont val="Arial"/>
        <family val="2"/>
      </rPr>
      <t>4</t>
    </r>
    <r>
      <rPr>
        <sz val="12"/>
        <color theme="1"/>
        <rFont val="Arial"/>
        <family val="2"/>
      </rPr>
      <t xml:space="preserve"> emissions; dairy cattle</t>
    </r>
  </si>
  <si>
    <r>
      <t>WAM-LOW manure CH</t>
    </r>
    <r>
      <rPr>
        <vertAlign val="subscript"/>
        <sz val="12"/>
        <color theme="1"/>
        <rFont val="Arial"/>
        <family val="2"/>
      </rPr>
      <t>4</t>
    </r>
    <r>
      <rPr>
        <sz val="12"/>
        <color theme="1"/>
        <rFont val="Arial"/>
        <family val="2"/>
      </rPr>
      <t xml:space="preserve"> emissions; other cattle</t>
    </r>
  </si>
  <si>
    <r>
      <t>Rice CH</t>
    </r>
    <r>
      <rPr>
        <vertAlign val="subscript"/>
        <sz val="12"/>
        <color theme="1"/>
        <rFont val="Arial"/>
        <family val="2"/>
      </rPr>
      <t xml:space="preserve">4 </t>
    </r>
    <r>
      <rPr>
        <sz val="12"/>
        <color theme="1"/>
        <rFont val="Arial"/>
        <family val="2"/>
      </rPr>
      <t>emissions (Gg CO</t>
    </r>
    <r>
      <rPr>
        <vertAlign val="subscript"/>
        <sz val="12"/>
        <color theme="1"/>
        <rFont val="Arial"/>
        <family val="2"/>
      </rPr>
      <t>2</t>
    </r>
    <r>
      <rPr>
        <sz val="12"/>
        <color theme="1"/>
        <rFont val="Arial"/>
        <family val="2"/>
      </rPr>
      <t>e)</t>
    </r>
  </si>
  <si>
    <t>By 2040, we have 25% area with full till, 25% reduced till and 50% no till; the rate of change is linear.</t>
  </si>
  <si>
    <t xml:space="preserve">WOM change in SOC </t>
  </si>
  <si>
    <t>WOM total SOC</t>
  </si>
  <si>
    <r>
      <t>Gg CO</t>
    </r>
    <r>
      <rPr>
        <b/>
        <vertAlign val="subscript"/>
        <sz val="12"/>
        <color theme="1"/>
        <rFont val="Arial"/>
        <family val="2"/>
      </rPr>
      <t>2</t>
    </r>
  </si>
  <si>
    <t>WAM change in SOC</t>
  </si>
  <si>
    <t xml:space="preserve">WAM total SOC </t>
  </si>
  <si>
    <t>Activity Data and Emissions Parameters</t>
  </si>
  <si>
    <r>
      <t>Gg CO</t>
    </r>
    <r>
      <rPr>
        <vertAlign val="subscript"/>
        <sz val="12"/>
        <rFont val="Arial"/>
        <family val="2"/>
      </rPr>
      <t>2</t>
    </r>
    <r>
      <rPr>
        <sz val="12"/>
        <rFont val="Arial"/>
        <family val="2"/>
      </rPr>
      <t>e mitigated</t>
    </r>
  </si>
  <si>
    <t>Synthetic N fertilizer emission parameters</t>
  </si>
  <si>
    <t>% Mitigated = relative change in emissions from the beginning of the assessment period, time t</t>
  </si>
  <si>
    <t>Gg mitigated = change in emissions between baseline and policy scenario emissions at the end of the assessment period, time t+10</t>
  </si>
  <si>
    <t>Gg mitigated = change in emissions between baseline and policy scenario emissions at the end of the assessment period, time t+20</t>
  </si>
  <si>
    <t>% Mitigated = relative change in total SOC from the beginning of the assessment period, time t-20</t>
  </si>
  <si>
    <t>Use the dashboard below to navigate through the content contained in this Part III's Technical Supplement.</t>
  </si>
  <si>
    <t xml:space="preserve">WOM emissions from SOC change </t>
  </si>
  <si>
    <t>WOM emissions from SOC change</t>
  </si>
  <si>
    <t>WAM emissions from SOC change</t>
  </si>
  <si>
    <r>
      <t>t CO</t>
    </r>
    <r>
      <rPr>
        <b/>
        <vertAlign val="subscript"/>
        <sz val="12"/>
        <color theme="1"/>
        <rFont val="Arial"/>
        <family val="2"/>
      </rPr>
      <t>2</t>
    </r>
  </si>
  <si>
    <r>
      <t>WOM enteric fermentation CH</t>
    </r>
    <r>
      <rPr>
        <vertAlign val="subscript"/>
        <sz val="12"/>
        <color theme="1"/>
        <rFont val="Arial"/>
        <family val="2"/>
      </rPr>
      <t>4</t>
    </r>
    <r>
      <rPr>
        <sz val="12"/>
        <color theme="1"/>
        <rFont val="Arial"/>
        <family val="2"/>
      </rPr>
      <t xml:space="preserve"> emissions (dairy and other cattle)</t>
    </r>
  </si>
  <si>
    <r>
      <t>WOM manure CH</t>
    </r>
    <r>
      <rPr>
        <b/>
        <vertAlign val="subscript"/>
        <sz val="12"/>
        <color theme="1"/>
        <rFont val="Arial"/>
        <family val="2"/>
      </rPr>
      <t>4</t>
    </r>
    <r>
      <rPr>
        <b/>
        <sz val="12"/>
        <color theme="1"/>
        <rFont val="Arial"/>
        <family val="2"/>
      </rPr>
      <t xml:space="preserve"> </t>
    </r>
    <r>
      <rPr>
        <sz val="12"/>
        <color theme="1"/>
        <rFont val="Arial"/>
        <family val="2"/>
      </rPr>
      <t>emissions (dairy cattle and other cattle)</t>
    </r>
  </si>
  <si>
    <r>
      <t>WAM-LOW manure CH</t>
    </r>
    <r>
      <rPr>
        <vertAlign val="subscript"/>
        <sz val="12"/>
        <color theme="1"/>
        <rFont val="Arial"/>
        <family val="2"/>
      </rPr>
      <t xml:space="preserve">4 </t>
    </r>
    <r>
      <rPr>
        <sz val="12"/>
        <color theme="1"/>
        <rFont val="Arial"/>
        <family val="2"/>
      </rPr>
      <t>emissions; dairy cattle and other cattle</t>
    </r>
  </si>
  <si>
    <r>
      <rPr>
        <i/>
        <sz val="12"/>
        <color theme="1"/>
        <rFont val="Arial"/>
        <family val="2"/>
      </rPr>
      <t>Adjusted emission factor for solid storage policy scenarios</t>
    </r>
    <r>
      <rPr>
        <sz val="12"/>
        <color theme="1"/>
        <rFont val="Arial"/>
        <family val="2"/>
      </rPr>
      <t xml:space="preserve">. Assumes reduced manure methane due to reduced storage duration (50% reduction). </t>
    </r>
    <r>
      <rPr>
        <sz val="10"/>
        <color theme="1"/>
        <rFont val="Arial"/>
        <family val="2"/>
      </rPr>
      <t>(Note: Total manure emission mitigation assumed to be 50% (of remaining stored manure), but in reality depends on the specific change in practice, the original manure management system, and the new manure management system.)</t>
    </r>
  </si>
  <si>
    <t>Emissions from SOC change</t>
  </si>
  <si>
    <r>
      <t>Tier 1 &amp; 2 Manure CH</t>
    </r>
    <r>
      <rPr>
        <vertAlign val="subscript"/>
        <sz val="10"/>
        <color theme="1"/>
        <rFont val="Arial"/>
        <family val="2"/>
      </rPr>
      <t>4</t>
    </r>
    <r>
      <rPr>
        <sz val="10"/>
        <color theme="1"/>
        <rFont val="Arial"/>
        <family val="2"/>
      </rPr>
      <t xml:space="preserve"> EFs
Tier 1 &amp; 2 Manure</t>
    </r>
    <r>
      <rPr>
        <sz val="10"/>
        <rFont val="Arial"/>
        <family val="2"/>
      </rPr>
      <t xml:space="preserve"> N</t>
    </r>
    <r>
      <rPr>
        <vertAlign val="subscript"/>
        <sz val="10"/>
        <rFont val="Arial"/>
        <family val="2"/>
      </rPr>
      <t>2</t>
    </r>
    <r>
      <rPr>
        <sz val="10"/>
        <rFont val="Arial"/>
        <family val="2"/>
      </rPr>
      <t>O EFs (di</t>
    </r>
    <r>
      <rPr>
        <sz val="10"/>
        <color theme="1"/>
        <rFont val="Arial"/>
        <family val="2"/>
      </rPr>
      <t>rect and indirect)</t>
    </r>
  </si>
  <si>
    <t>Land representation</t>
  </si>
  <si>
    <t>Livestock characterization</t>
  </si>
  <si>
    <t>Synthetic fertilizer application
Rice</t>
  </si>
  <si>
    <t>Synthetic fertilizer application
Annual crops except rice</t>
  </si>
  <si>
    <t>Rice cultivation system and management</t>
  </si>
  <si>
    <t>Parameter</t>
  </si>
  <si>
    <t>Water Management During Cultivation</t>
  </si>
  <si>
    <t>Irrigated continuously flooded</t>
  </si>
  <si>
    <t>Water Regime Before Cultivation</t>
  </si>
  <si>
    <t>Non-flooded pre-season &lt; 180 days</t>
  </si>
  <si>
    <t xml:space="preserve">Yield </t>
  </si>
  <si>
    <t>9.8 kg fresh weight/ha</t>
  </si>
  <si>
    <t>Number of seasons</t>
  </si>
  <si>
    <t>2 (same management for each season)</t>
  </si>
  <si>
    <t>0 (no organic amendments are applied)</t>
  </si>
  <si>
    <t>Residue management</t>
  </si>
  <si>
    <t>100% burnt</t>
  </si>
  <si>
    <t>Cultivation area</t>
  </si>
  <si>
    <t>30,282 ha</t>
  </si>
  <si>
    <t>Application rate of organic amendments, ROA</t>
  </si>
  <si>
    <t>Assessment Calculations</t>
  </si>
  <si>
    <t>Cattle population (number of heads)</t>
  </si>
  <si>
    <t>Observed change in practice if 25% of farmers who participated in workshops carry out changes on their farm; should decrease over time as time to application / use decreases</t>
  </si>
  <si>
    <t>Observed change in practice if 80% of farmers who participated in workshops carry out changes on their farm; should decrease over time as time to application / use decreases</t>
  </si>
  <si>
    <t>capita</t>
  </si>
  <si>
    <r>
      <t xml:space="preserve">Agriculture or livestock survey or census; </t>
    </r>
    <r>
      <rPr>
        <sz val="10"/>
        <rFont val="Arial"/>
        <family val="2"/>
      </rPr>
      <t xml:space="preserve"> 2019 Refinement, Vol 4, Ch10, Annex 10.A.5 default values for animal live weight (kg) </t>
    </r>
  </si>
  <si>
    <t>2019 Refinement, Vol 4, Ch 10, Table 10.14. CH4 emissions are highly sensitive to temperature variations so wherever possible temperature data that reflects seasonal and regional variation should be used.</t>
  </si>
  <si>
    <t>2019 Refinement, Vol 4, Ch10, Table 10.22</t>
  </si>
  <si>
    <t>Expert knowledge and research studies, based on field measurements. National meteorological statistics. Default MCF values are provided in 2019 Refinement, Vol 4, CH10, Table 10.17. Annex 10.A2 details climate zones. Country-specific MCF's can be further weighted by variations in region, seasons, manure spreading practices.</t>
  </si>
  <si>
    <r>
      <rPr>
        <i/>
        <sz val="10"/>
        <color theme="1"/>
        <rFont val="Arial"/>
        <family val="2"/>
      </rPr>
      <t>MCF, Country-specific weighted average</t>
    </r>
    <r>
      <rPr>
        <sz val="10"/>
        <color theme="1"/>
        <rFont val="Arial"/>
        <family val="2"/>
      </rPr>
      <t>: CH4 conversion factor  per manure management systems, per climate (%)</t>
    </r>
  </si>
  <si>
    <t>National meteorological data. Agriculture or livestock survey or census. Expert knowledge. Data from representative research studies.</t>
  </si>
  <si>
    <r>
      <rPr>
        <i/>
        <sz val="10"/>
        <color theme="1"/>
        <rFont val="Arial"/>
        <family val="2"/>
      </rPr>
      <t>N</t>
    </r>
    <r>
      <rPr>
        <sz val="10"/>
        <color theme="1"/>
        <rFont val="Arial"/>
        <family val="2"/>
      </rPr>
      <t>: Annual average livestock population in each category, estimated from number of animals produced annually (head/yr)</t>
    </r>
  </si>
  <si>
    <t>Official national agriculture or livestock survey or census OR official industry sources OR FAOSTAT Data if prior data sources are unavailable. Extrapolation from sample surveys. Derived from economic forecasts of milk and beef demand. For livestock with growing population (e.g., meat animals, such as broilers, turkeys, beef cattle, and market swine) where animals are alive for only part of a complete year utilize Equation 10.1 to estimate. Animals should be included in the populations regardless if they were slaughtered for human consumption or die of natural causes.</t>
  </si>
  <si>
    <t>Equal doses: 
At transplanting 
+ 25-30 days after transplanting 
+ 45-50 days after transplanting</t>
  </si>
  <si>
    <r>
      <t xml:space="preserve">Official national agriculture or livestock survey or census </t>
    </r>
    <r>
      <rPr>
        <i/>
        <sz val="10"/>
        <color theme="1"/>
        <rFont val="Arial"/>
        <family val="2"/>
      </rPr>
      <t>or</t>
    </r>
    <r>
      <rPr>
        <sz val="10"/>
        <color theme="1"/>
        <rFont val="Arial"/>
        <family val="2"/>
      </rPr>
      <t xml:space="preserve"> official industry sources </t>
    </r>
    <r>
      <rPr>
        <i/>
        <sz val="10"/>
        <color theme="1"/>
        <rFont val="Arial"/>
        <family val="2"/>
      </rPr>
      <t>or</t>
    </r>
    <r>
      <rPr>
        <sz val="10"/>
        <color theme="1"/>
        <rFont val="Arial"/>
        <family val="2"/>
      </rPr>
      <t xml:space="preserve"> FAOSTAT Data if prior data sources are unavailable. Extrapolation from sample surveys. Derived from economic forecasts of milk and beef demand.</t>
    </r>
  </si>
  <si>
    <r>
      <t>Tier 1 CH</t>
    </r>
    <r>
      <rPr>
        <vertAlign val="subscript"/>
        <sz val="10"/>
        <color theme="1"/>
        <rFont val="Arial"/>
        <family val="2"/>
      </rPr>
      <t>4</t>
    </r>
    <r>
      <rPr>
        <sz val="10"/>
        <color theme="1"/>
        <rFont val="Arial"/>
        <family val="2"/>
      </rPr>
      <t xml:space="preserve"> Enteric emissions by productivity class</t>
    </r>
  </si>
  <si>
    <t>For additional information, see section 6.2.2 of the guide.</t>
  </si>
  <si>
    <r>
      <t xml:space="preserve">All assumptions are documented in the </t>
    </r>
    <r>
      <rPr>
        <i/>
        <sz val="12"/>
        <color theme="1"/>
        <rFont val="Calibri Light"/>
        <family val="2"/>
        <scheme val="major"/>
      </rPr>
      <t>Notes</t>
    </r>
    <r>
      <rPr>
        <sz val="12"/>
        <color theme="1"/>
        <rFont val="Calibri Light"/>
        <family val="2"/>
        <scheme val="major"/>
      </rPr>
      <t xml:space="preserve"> section in column O. (For additional information, see section 6.2.3 of the guide.)</t>
    </r>
  </si>
  <si>
    <t>The parameters used to calculate GHG emissions from manure management are listed below for both Tier 1 and Tier 2. For each parameter used in these calculations, the potential sources from activity data are provided. Additionally, the "Calculates" column indicates where each parameter is used in the calculations along with the resulting GHGs from these emission sources. The suggested monitoring frequency of activity data is indicative based on expert judgement.</t>
  </si>
  <si>
    <t>The parameters used to calculate GHG emissions from enteric fermentation are listed below for both Tier 1 and Tier 2. For each parameter used in these calculations, the potential sources from activity data are provided. Additionally, the "Calculates" column indicates where each parameter is used in the calculations along with the resulting GHGs from these emission sources. The suggested monitoring frequency of activity data is indicative based on expert judgement.</t>
  </si>
  <si>
    <t>The parameters used to calculate GHG emissions from fertilizer application are listed below for both Tier 1 and Tier 2. For each parameter used in these calculations, the potential sources from activity data are provided. Additionally, the "Calculates" column indicates where each parameter is used in the calculations along with the resulting GHGs from this emission source. The suggested monitoring frequency of activity data is indicative based on expert judgement.</t>
  </si>
  <si>
    <r>
      <t>Tier 1 indirect N</t>
    </r>
    <r>
      <rPr>
        <vertAlign val="subscript"/>
        <sz val="10"/>
        <color theme="1"/>
        <rFont val="Arial"/>
        <family val="2"/>
      </rPr>
      <t>2</t>
    </r>
    <r>
      <rPr>
        <sz val="10"/>
        <color theme="1"/>
        <rFont val="Arial"/>
        <family val="2"/>
      </rPr>
      <t>O emissions from managed soils, volatilisation</t>
    </r>
  </si>
  <si>
    <t>Official national agriculture survey or census OR official industry data on exports and sales. Alternatively, use fertilizer use and type data from the International Fertilizer Association (IFA) or FAO data on synthetic fertiliser consumption. Note: urea application rates are a component of determining FSN, listed above)</t>
  </si>
  <si>
    <t>Peer-reviewed studies for country-specific emission factors will use measurements of emissions (per unit of N) and survey or census data that provides data on specific conditions in combination with expert knowledge.</t>
  </si>
  <si>
    <r>
      <rPr>
        <i/>
        <sz val="10"/>
        <rFont val="Arial"/>
        <family val="2"/>
      </rPr>
      <t>RAG:</t>
    </r>
    <r>
      <rPr>
        <sz val="10"/>
        <rFont val="Arial"/>
        <family val="2"/>
      </rPr>
      <t xml:space="preserve"> Ratio of above-ground residue dry matter to harvested yield</t>
    </r>
  </si>
  <si>
    <r>
      <rPr>
        <i/>
        <sz val="10"/>
        <rFont val="Arial"/>
        <family val="2"/>
      </rPr>
      <t xml:space="preserve">RS: </t>
    </r>
    <r>
      <rPr>
        <sz val="10"/>
        <rFont val="Arial"/>
        <family val="2"/>
      </rPr>
      <t>Ratio of below-ground biomass to above-ground biomass</t>
    </r>
  </si>
  <si>
    <r>
      <t xml:space="preserve">WAM </t>
    </r>
    <r>
      <rPr>
        <i/>
        <sz val="12"/>
        <color theme="1"/>
        <rFont val="Arial"/>
        <family val="2"/>
      </rPr>
      <t>(ex-post)</t>
    </r>
  </si>
  <si>
    <r>
      <t xml:space="preserve">WAM </t>
    </r>
    <r>
      <rPr>
        <i/>
        <sz val="12"/>
        <color theme="1"/>
        <rFont val="Arial"/>
        <family val="2"/>
      </rPr>
      <t>(ex-ante)</t>
    </r>
  </si>
  <si>
    <t xml:space="preserve">Summarized below are the emissions by policy scenario and emission mitagation estimates. </t>
  </si>
  <si>
    <t>Gg mitigated = change in emissions between baseline and policy scenarios as a result of change in SOC at the end of the assessment period, time t for WAM ex-post, time t+20 for WAM ex-ante</t>
  </si>
  <si>
    <t>All assumptions are documented in the Notes section in column Y. For additional information, see section 8.2.2 of the guide.</t>
  </si>
  <si>
    <r>
      <t xml:space="preserve">All assumptions are documented in the </t>
    </r>
    <r>
      <rPr>
        <i/>
        <sz val="12"/>
        <color theme="1"/>
        <rFont val="Calibri Light"/>
        <family val="2"/>
        <scheme val="major"/>
      </rPr>
      <t>Notes</t>
    </r>
    <r>
      <rPr>
        <sz val="12"/>
        <color theme="1"/>
        <rFont val="Calibri Light"/>
        <family val="2"/>
        <scheme val="major"/>
      </rPr>
      <t xml:space="preserve"> section in column Y. (For additional information, see section 8.2.3 of the guide.)</t>
    </r>
  </si>
  <si>
    <t>The parameters used to calculate GHG emissions from rice cultivation are listed below for both Tier 1 and Tier 2. For each parameter used in these calculations, the potential sources from activity data are provided. Additionally, the "Calculates" column indicates where each parameter is used in the calculations along with the resulting GHGs from these emission sources. The suggested monitoring frequency of activity data is indicative based on expert judgement.</t>
  </si>
  <si>
    <r>
      <rPr>
        <i/>
        <sz val="10"/>
        <rFont val="Arial"/>
        <family val="2"/>
      </rPr>
      <t xml:space="preserve">Yield: </t>
    </r>
    <r>
      <rPr>
        <sz val="10"/>
        <rFont val="Arial"/>
        <family val="2"/>
      </rPr>
      <t>Harvested fresh yield for crop (kg fresh weight ha</t>
    </r>
    <r>
      <rPr>
        <vertAlign val="superscript"/>
        <sz val="10"/>
        <rFont val="Arial"/>
        <family val="2"/>
      </rPr>
      <t>-1</t>
    </r>
    <r>
      <rPr>
        <sz val="10"/>
        <rFont val="Arial"/>
        <family val="2"/>
      </rPr>
      <t>)</t>
    </r>
  </si>
  <si>
    <r>
      <rPr>
        <i/>
        <sz val="10"/>
        <color theme="1"/>
        <rFont val="Arial"/>
        <family val="2"/>
      </rPr>
      <t xml:space="preserve">Rice system classification by ecosystem and water regime: </t>
    </r>
    <r>
      <rPr>
        <sz val="10"/>
        <color theme="1"/>
        <rFont val="Arial"/>
        <family val="2"/>
      </rPr>
      <t xml:space="preserve">
Upland, irrigated (Continuously flooded, mid-drainage, multiple drainages), or rainfed and deep water (regular rainfed, drought prone, deep water) (unitless)</t>
    </r>
  </si>
  <si>
    <r>
      <rPr>
        <i/>
        <sz val="10"/>
        <color theme="1"/>
        <rFont val="Arial"/>
        <family val="2"/>
      </rPr>
      <t xml:space="preserve">CFOA: </t>
    </r>
    <r>
      <rPr>
        <sz val="10"/>
        <color theme="1"/>
        <rFont val="Arial"/>
        <family val="2"/>
      </rPr>
      <t>Conversion factor for organic amendments</t>
    </r>
  </si>
  <si>
    <t>Agriculture census
Soil surveys
International land cover data sets or other land cover maps (2019 Refinement, Vol 4, Ch 3, Table 3A.1.1)
Remote sensing data
Ground-based surveys</t>
  </si>
  <si>
    <r>
      <rPr>
        <i/>
        <sz val="10"/>
        <rFont val="Arial"/>
        <family val="2"/>
      </rPr>
      <t>dC_SO:</t>
    </r>
    <r>
      <rPr>
        <sz val="10"/>
        <rFont val="Arial"/>
        <family val="2"/>
      </rPr>
      <t xml:space="preserve"> Annual change in soil carbon pool, needed for estimating change in carbon stocks in annual and perennial cropland remaining cropland (tonnes C/yr)</t>
    </r>
  </si>
  <si>
    <r>
      <rPr>
        <i/>
        <sz val="10"/>
        <color theme="1"/>
        <rFont val="Arial"/>
        <family val="2"/>
      </rPr>
      <t>Flu/Fmg/Fi:</t>
    </r>
    <r>
      <rPr>
        <sz val="10"/>
        <color theme="1"/>
        <rFont val="Arial"/>
        <family val="2"/>
      </rPr>
      <t xml:space="preserve"> Relative stock change factors for land use, management practices, and inputs (unitless fraction) </t>
    </r>
  </si>
  <si>
    <t>The parameters used to calculate GHG emissions from carbon pools are listed below for both Tier 1. For each parameter used in these calculations, the potential sources from activity data are provided. Additionally, the "Calculates" column indicates where each parameter is used in the calculations along with the resulting GHGs from this emission source. The suggested monitoring frequency of activity data is indicative based on expert judgement.</t>
  </si>
  <si>
    <t>The Hypothetical Country national circumstances described in the Agriculture Guide and used in policy assessment examples in Chapters 5-8 are summarized here. The following activity data representing these national circumstances and agricultural systems are used to assess the policies and measures in the Assessment Chapters and in this Technical Supplement.</t>
  </si>
  <si>
    <t>Tier 1/1a and Tier 2</t>
  </si>
  <si>
    <r>
      <t xml:space="preserve">All assumptions are documented in the </t>
    </r>
    <r>
      <rPr>
        <i/>
        <sz val="12"/>
        <rFont val="Calibri Light"/>
        <family val="2"/>
        <scheme val="major"/>
      </rPr>
      <t>Notes</t>
    </r>
    <r>
      <rPr>
        <sz val="12"/>
        <rFont val="Calibri Light"/>
        <family val="2"/>
        <scheme val="major"/>
      </rPr>
      <t xml:space="preserve"> section in column O. (For additional information, see section 5.2.2 of the guide.)</t>
    </r>
  </si>
  <si>
    <t>1 - Policy Assessment Results</t>
  </si>
  <si>
    <t>2 - Activity Data and Emissions Parameters</t>
  </si>
  <si>
    <t>Sections 1-5 below demonstrate the calculations used for the National Dairy Methane Reduction Programme assessment as described in Chapter 5.</t>
  </si>
  <si>
    <t>Section 2 outlines the activity data and parameters which are used in the assessment.</t>
  </si>
  <si>
    <t xml:space="preserve">Section 3 presents the baseline emissions (WOM) estimates for enteric fermentation and manure management for the assessment period (t through t+10). A simple trend baseline is used for the assessment. </t>
  </si>
  <si>
    <t xml:space="preserve">Section 4 presents the mitigation scenarios (WAM-HIGH and WAM-LOW) estimates for enteric fermentation and manure management for the assessment period (t through t+10). </t>
  </si>
  <si>
    <r>
      <t xml:space="preserve">All assumptions are documented in the </t>
    </r>
    <r>
      <rPr>
        <i/>
        <sz val="12"/>
        <color theme="1"/>
        <rFont val="Calibri Light"/>
        <family val="2"/>
        <scheme val="major"/>
      </rPr>
      <t>Notes</t>
    </r>
    <r>
      <rPr>
        <sz val="12"/>
        <color theme="1"/>
        <rFont val="Calibri Light"/>
        <family val="2"/>
        <scheme val="major"/>
      </rPr>
      <t xml:space="preserve"> section in column O. (For additional information, see section 5.2.3 of the guide.)</t>
    </r>
  </si>
  <si>
    <r>
      <t>Section 1 summarizes baseline and policy scenario emission estimates. A negative % Mitigated indicates decrease in emissions. Emissions in CO</t>
    </r>
    <r>
      <rPr>
        <vertAlign val="subscript"/>
        <sz val="12"/>
        <rFont val="Calibri Light"/>
        <family val="2"/>
        <scheme val="major"/>
      </rPr>
      <t>2</t>
    </r>
    <r>
      <rPr>
        <sz val="12"/>
        <rFont val="Calibri Light"/>
        <family val="2"/>
        <scheme val="major"/>
      </rPr>
      <t>e were calculated with the Fifth Assessment Report (AR5) Global Warming Potential for CH</t>
    </r>
    <r>
      <rPr>
        <vertAlign val="subscript"/>
        <sz val="12"/>
        <rFont val="Calibri Light"/>
        <family val="2"/>
        <scheme val="major"/>
      </rPr>
      <t>4</t>
    </r>
    <r>
      <rPr>
        <sz val="12"/>
        <rFont val="Calibri Light"/>
        <family val="2"/>
        <scheme val="major"/>
      </rPr>
      <t>. The figure on the right presents the emissions estimates in a projections format.</t>
    </r>
  </si>
  <si>
    <t>1 - Parameters for Tier 1/1a and Tier 2</t>
  </si>
  <si>
    <t>2 - Parameters for Tier 1/1a only</t>
  </si>
  <si>
    <t>3 - Parameters for Tier 2 only</t>
  </si>
  <si>
    <t>1 - Parameters for Tier 1 and Tier 2</t>
  </si>
  <si>
    <t>Tier 1/ Tier 1a</t>
  </si>
  <si>
    <t>Sections 1-5 below demonstrate the calculations used for the National Urea Fertilizer Policy assessment as described in Chapter 6.</t>
  </si>
  <si>
    <r>
      <t>Section 1 summarizes baseline and policy scenario emission estimates. A negative % Mitigated indicates decrease in emissions.  Emissions in CO</t>
    </r>
    <r>
      <rPr>
        <vertAlign val="subscript"/>
        <sz val="12"/>
        <color theme="1"/>
        <rFont val="Calibri Light"/>
        <family val="2"/>
        <scheme val="major"/>
      </rPr>
      <t>2</t>
    </r>
    <r>
      <rPr>
        <sz val="12"/>
        <color theme="1"/>
        <rFont val="Calibri Light"/>
        <family val="2"/>
        <scheme val="major"/>
      </rPr>
      <t>e were calculated with the Fifth Asssessment Report (AR5) Global Warming Potential for N</t>
    </r>
    <r>
      <rPr>
        <vertAlign val="subscript"/>
        <sz val="12"/>
        <color theme="1"/>
        <rFont val="Calibri Light"/>
        <family val="2"/>
        <scheme val="major"/>
      </rPr>
      <t>2</t>
    </r>
    <r>
      <rPr>
        <sz val="12"/>
        <color theme="1"/>
        <rFont val="Calibri Light"/>
        <family val="2"/>
        <scheme val="major"/>
      </rPr>
      <t>O. The figure on the right presents the calculations in a projections format.</t>
    </r>
  </si>
  <si>
    <t>See "Nutrient Data" for description and potential data sources for parameters used in calculations of GHGs from managed soils.</t>
  </si>
  <si>
    <t>See tab "Manure Data" for description and potential data sources for parameters used in calculations of GHGs from livestock production.</t>
  </si>
  <si>
    <t xml:space="preserve">Section 3 presents the baseline emissions (WOM) estimated for fertilizer management for the assessment period (t through t+10). A constant  baseline is used for the assessment. </t>
  </si>
  <si>
    <t xml:space="preserve">Section 4 presents the mitigation scenarios  (WAM-LOW, WAM-MED, and WAM-LOW) estimates for fertilizer management  for the assessment period (t through t+10). </t>
  </si>
  <si>
    <t>Section 5 presents the baseline (WOM) and mitigation scenarios (WAM-HIGH and WAM-LOW) time trend of emissions.</t>
  </si>
  <si>
    <t>Section 5 presents the baseline (WOM) and mitigation scenarios (WAM-LOW and WAM-MED) time trend of emissions.</t>
  </si>
  <si>
    <r>
      <t>1 - Parameters for Tier 1 and Tier 2 (Direct and Indirect N</t>
    </r>
    <r>
      <rPr>
        <vertAlign val="subscript"/>
        <sz val="12"/>
        <color theme="1"/>
        <rFont val="Calibri Light"/>
        <family val="2"/>
        <scheme val="major"/>
      </rPr>
      <t>2</t>
    </r>
    <r>
      <rPr>
        <sz val="12"/>
        <color theme="1"/>
        <rFont val="Calibri Light"/>
        <family val="2"/>
        <scheme val="major"/>
      </rPr>
      <t>O and CO</t>
    </r>
    <r>
      <rPr>
        <vertAlign val="subscript"/>
        <sz val="12"/>
        <color theme="1"/>
        <rFont val="Calibri Light"/>
        <family val="2"/>
        <scheme val="major"/>
      </rPr>
      <t>2</t>
    </r>
    <r>
      <rPr>
        <sz val="12"/>
        <color theme="1"/>
        <rFont val="Calibri Light"/>
        <family val="2"/>
        <scheme val="major"/>
      </rPr>
      <t>)</t>
    </r>
  </si>
  <si>
    <r>
      <t>Gg CO</t>
    </r>
    <r>
      <rPr>
        <b/>
        <vertAlign val="subscript"/>
        <sz val="12"/>
        <color theme="1"/>
        <rFont val="Arial"/>
        <family val="2"/>
      </rPr>
      <t>2</t>
    </r>
    <r>
      <rPr>
        <b/>
        <sz val="12"/>
        <color theme="1"/>
        <rFont val="Arial"/>
        <family val="2"/>
      </rPr>
      <t xml:space="preserve"> mitigated</t>
    </r>
  </si>
  <si>
    <t>Section 2 summarizes soil carbon reference values and carbon stock factors based on soil stratum.</t>
  </si>
  <si>
    <t>For additional information, see section 7.2.2 of the guide.</t>
  </si>
  <si>
    <t>For additional information, see section 7.2.3 of the guide.</t>
  </si>
  <si>
    <t>Section 5 presents the baseline (WOM) and mitigation scenarios (WAM) time trend of emissions.</t>
  </si>
  <si>
    <t>See Policy Assessment Results table above</t>
  </si>
  <si>
    <t>1 - Parameters for Tier 1</t>
  </si>
  <si>
    <t>Sections 1-5 below demonstrate the calculations used for the National Program for Sustainable Rice Production as described in Chapter 8.</t>
  </si>
  <si>
    <r>
      <t>Section 1 summarizes baseline and policy scenario emissions estimates. A negative % Mitigated indicates decrease in emissions. Emissions in CO</t>
    </r>
    <r>
      <rPr>
        <vertAlign val="subscript"/>
        <sz val="12"/>
        <color theme="1"/>
        <rFont val="Calibri Light"/>
        <family val="2"/>
        <scheme val="major"/>
      </rPr>
      <t>2</t>
    </r>
    <r>
      <rPr>
        <sz val="12"/>
        <color theme="1"/>
        <rFont val="Calibri Light"/>
        <family val="2"/>
        <scheme val="major"/>
      </rPr>
      <t>e were calculated with the Fifth Asssessment Report (AR5) Global Warming Potential for N</t>
    </r>
    <r>
      <rPr>
        <vertAlign val="subscript"/>
        <sz val="12"/>
        <color theme="1"/>
        <rFont val="Calibri Light"/>
        <family val="2"/>
        <scheme val="major"/>
      </rPr>
      <t>2</t>
    </r>
    <r>
      <rPr>
        <sz val="12"/>
        <color theme="1"/>
        <rFont val="Calibri Light"/>
        <family val="2"/>
        <scheme val="major"/>
      </rPr>
      <t>O and CH</t>
    </r>
    <r>
      <rPr>
        <vertAlign val="subscript"/>
        <sz val="12"/>
        <color theme="1"/>
        <rFont val="Calibri Light"/>
        <family val="2"/>
        <scheme val="major"/>
      </rPr>
      <t>4</t>
    </r>
    <r>
      <rPr>
        <sz val="12"/>
        <color theme="1"/>
        <rFont val="Calibri Light"/>
        <family val="2"/>
        <scheme val="major"/>
      </rPr>
      <t>. The figure on the right presents the calculations in a projections format.</t>
    </r>
  </si>
  <si>
    <t xml:space="preserve">Section 2 outlines the activity data and parameters are used in the assessment. </t>
  </si>
  <si>
    <t>See tab "Ride Data" for description and potential data sources for parameters used in calculations of GHGs from rice cultivation.</t>
  </si>
  <si>
    <t xml:space="preserve">Section 3 presents the baseline emissions (WOM) estimates for rice cultivation management for the assessment period (t through t+20). A constant baseline is used for the assessment. </t>
  </si>
  <si>
    <t xml:space="preserve">Section 4 presents the mitigation scenario (WAM) estimates for rice cultivation management for the assessment period (t through t+20). </t>
  </si>
  <si>
    <t>Section 5 presents the baseline (WOM) and mitigation scenario (WAM) time trend of emissions.</t>
  </si>
  <si>
    <r>
      <t>2 - Parameters for Tier 1 only (CH</t>
    </r>
    <r>
      <rPr>
        <vertAlign val="subscript"/>
        <sz val="12"/>
        <color theme="1"/>
        <rFont val="Calibri Light"/>
        <family val="2"/>
        <scheme val="major"/>
      </rPr>
      <t>4</t>
    </r>
    <r>
      <rPr>
        <sz val="12"/>
        <color theme="1"/>
        <rFont val="Calibri Light"/>
        <family val="2"/>
        <scheme val="major"/>
      </rPr>
      <t>, N</t>
    </r>
    <r>
      <rPr>
        <vertAlign val="subscript"/>
        <sz val="12"/>
        <color theme="1"/>
        <rFont val="Calibri Light"/>
        <family val="2"/>
        <scheme val="major"/>
      </rPr>
      <t>2</t>
    </r>
    <r>
      <rPr>
        <sz val="12"/>
        <color theme="1"/>
        <rFont val="Calibri Light"/>
        <family val="2"/>
        <scheme val="major"/>
      </rPr>
      <t>O)</t>
    </r>
  </si>
  <si>
    <r>
      <t>3 - Parameters for Tier 2 only (CH</t>
    </r>
    <r>
      <rPr>
        <vertAlign val="subscript"/>
        <sz val="12"/>
        <color theme="1"/>
        <rFont val="Calibri Light"/>
        <family val="2"/>
        <scheme val="major"/>
      </rPr>
      <t>4</t>
    </r>
    <r>
      <rPr>
        <sz val="12"/>
        <color theme="1"/>
        <rFont val="Calibri Light"/>
        <family val="2"/>
        <scheme val="major"/>
      </rPr>
      <t>, N</t>
    </r>
    <r>
      <rPr>
        <vertAlign val="subscript"/>
        <sz val="12"/>
        <color theme="1"/>
        <rFont val="Calibri Light"/>
        <family val="2"/>
        <scheme val="major"/>
      </rPr>
      <t>2</t>
    </r>
    <r>
      <rPr>
        <sz val="12"/>
        <color theme="1"/>
        <rFont val="Calibri Light"/>
        <family val="2"/>
        <scheme val="major"/>
      </rPr>
      <t>O)</t>
    </r>
  </si>
  <si>
    <t>Section 3 presents the baseline (WOM) emissions scenario for the assessment period (t-20 through t+20).
First, the fraction of area under different management condictions is determined for each stratum, then change in SOC is determined for land under different management condictions.</t>
  </si>
  <si>
    <t>Section 4 presents the mitigation (WAM) emissions scenario for the assessment period (t-20 through t+20).
First, the fraction of area under different management condictions is determined for each stratum, then change in SOC is determined for land under different management condictions.</t>
  </si>
  <si>
    <t>4 - Policy Scenarios Emissions Calculations</t>
  </si>
  <si>
    <t>3 - Baseline Scenario Emissions Calculations</t>
  </si>
  <si>
    <t>Baseline Scenario Emissions Calculations</t>
  </si>
  <si>
    <t>Policy Scenarios Emissions Calculations</t>
  </si>
  <si>
    <t>5 - Emission Calculation Graphs</t>
  </si>
  <si>
    <t>Emission Calculation Graphs</t>
  </si>
  <si>
    <r>
      <t>Total N</t>
    </r>
    <r>
      <rPr>
        <b/>
        <vertAlign val="subscript"/>
        <sz val="12"/>
        <color theme="1"/>
        <rFont val="Arial"/>
        <family val="2"/>
      </rPr>
      <t>2</t>
    </r>
    <r>
      <rPr>
        <b/>
        <sz val="12"/>
        <color theme="1"/>
        <rFont val="Arial"/>
        <family val="2"/>
      </rPr>
      <t>O emissions (Gg CO</t>
    </r>
    <r>
      <rPr>
        <b/>
        <vertAlign val="subscript"/>
        <sz val="12"/>
        <color theme="1"/>
        <rFont val="Arial"/>
        <family val="2"/>
      </rPr>
      <t>2</t>
    </r>
    <r>
      <rPr>
        <b/>
        <sz val="12"/>
        <color theme="1"/>
        <rFont val="Arial"/>
        <family val="2"/>
      </rPr>
      <t>e)</t>
    </r>
  </si>
  <si>
    <r>
      <t xml:space="preserve">Sections 1-5 below demonstrate the calculaltions used for the National Conservation Agriculture Policy assessment as described in Chapter 7. 
</t>
    </r>
    <r>
      <rPr>
        <sz val="12"/>
        <color theme="4" tint="-0.249977111117893"/>
        <rFont val="Calibri Light"/>
        <family val="2"/>
        <scheme val="major"/>
      </rPr>
      <t>NOTE</t>
    </r>
    <r>
      <rPr>
        <sz val="12"/>
        <rFont val="Calibri Light"/>
        <family val="2"/>
        <scheme val="major"/>
      </rPr>
      <t xml:space="preserve">: Excel function (XLOOKUP) is used to look up parameters specific to  each stratum used in the calculation. The lookup values are locked for editing in column AX. For users adapting this Technical Supplement for their own assessments, these cells can be unlocked by entering the following </t>
    </r>
    <r>
      <rPr>
        <u/>
        <sz val="12"/>
        <color theme="4" tint="-0.249977111117893"/>
        <rFont val="Calibri Light"/>
        <family val="2"/>
        <scheme val="major"/>
      </rPr>
      <t>password: chapter7</t>
    </r>
    <r>
      <rPr>
        <u/>
        <sz val="12"/>
        <rFont val="Calibri Light"/>
        <family val="2"/>
        <scheme val="major"/>
      </rPr>
      <t xml:space="preserve">
</t>
    </r>
  </si>
  <si>
    <t>2 - Parameters for Tier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</si>
</sst>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_(&quot;$&quot;* \(#,##0\);_(&quot;$&quot;* &quot;-&quot;_);_(@_)"/>
    <numFmt numFmtId="44" formatCode="_(&quot;$&quot;* #,##0.00_);_(&quot;$&quot;* \(#,##0.00\);_(&quot;$&quot;* &quot;-&quot;??_);_(@_)"/>
    <numFmt numFmtId="43" formatCode="_(* #,##0.00_);_(* \(#,##0.00\);_(* &quot;-&quot;??_);_(@_)"/>
    <numFmt numFmtId="164" formatCode="_-* #,##0.00_-;\-* #,##0.00_-;_-* &quot;-&quot;??_-;_-@_-"/>
    <numFmt numFmtId="165" formatCode="_(* #,##0_);_(* \(#,##0\);_(* &quot;-&quot;??_);_(@_)"/>
    <numFmt numFmtId="166" formatCode="_(* #,##0.0000_);_(* \(#,##0.0000\);_(* &quot;-&quot;??_);_(@_)"/>
    <numFmt numFmtId="167" formatCode="_(&quot;$&quot;* #,##0_);_(&quot;$&quot;* \(#,##0\);_(&quot;$&quot;* &quot;-&quot;??_);_(@_)"/>
    <numFmt numFmtId="168" formatCode="_(* #,##0.0_);_(* \(#,##0.0\);_(* &quot;-&quot;??_);_(@_)"/>
    <numFmt numFmtId="169" formatCode="0.0%"/>
    <numFmt numFmtId="170" formatCode="0.00000%"/>
    <numFmt numFmtId="171" formatCode="0.0"/>
    <numFmt numFmtId="172" formatCode="_(* #,##0.000_);_(* \(#,##0.000\);_(* &quot;-&quot;??_);_(@_)"/>
    <numFmt numFmtId="173" formatCode="0.000"/>
    <numFmt numFmtId="174" formatCode="0.0000"/>
    <numFmt numFmtId="175" formatCode="#,##0.000"/>
    <numFmt numFmtId="176" formatCode="_-* #,##0.0_-;\-* #,##0.0_-;_-* &quot;-&quot;??_-;_-@_-"/>
  </numFmts>
  <fonts count="62" x14ac:knownFonts="1">
    <font>
      <sz val="12"/>
      <color theme="1"/>
      <name val="Calibri"/>
      <family val="2"/>
      <scheme val="minor"/>
    </font>
    <font>
      <sz val="12"/>
      <color theme="1"/>
      <name val="Calibri"/>
      <family val="2"/>
      <scheme val="minor"/>
    </font>
    <font>
      <sz val="12"/>
      <name val="Arial"/>
      <family val="2"/>
    </font>
    <font>
      <b/>
      <sz val="12"/>
      <name val="Arial"/>
      <family val="2"/>
    </font>
    <font>
      <sz val="10"/>
      <color theme="1"/>
      <name val="Arial"/>
      <family val="2"/>
    </font>
    <font>
      <sz val="8"/>
      <color theme="1"/>
      <name val="Arial"/>
      <family val="2"/>
    </font>
    <font>
      <b/>
      <sz val="14"/>
      <color theme="1"/>
      <name val="Arial"/>
      <family val="2"/>
    </font>
    <font>
      <sz val="12"/>
      <color theme="1"/>
      <name val="Arial"/>
      <family val="2"/>
    </font>
    <font>
      <b/>
      <u/>
      <sz val="12"/>
      <color theme="1"/>
      <name val="Arial"/>
      <family val="2"/>
    </font>
    <font>
      <sz val="12"/>
      <color rgb="FFFF0000"/>
      <name val="Arial"/>
      <family val="2"/>
    </font>
    <font>
      <b/>
      <sz val="12"/>
      <color theme="1"/>
      <name val="Arial"/>
      <family val="2"/>
    </font>
    <font>
      <sz val="12"/>
      <color rgb="FF000000"/>
      <name val="Arial"/>
      <family val="2"/>
    </font>
    <font>
      <vertAlign val="subscript"/>
      <sz val="12"/>
      <color theme="1"/>
      <name val="Arial"/>
      <family val="2"/>
    </font>
    <font>
      <b/>
      <vertAlign val="subscript"/>
      <sz val="14"/>
      <color theme="1"/>
      <name val="Arial"/>
      <family val="2"/>
    </font>
    <font>
      <b/>
      <vertAlign val="subscript"/>
      <sz val="12"/>
      <color theme="1"/>
      <name val="Arial"/>
      <family val="2"/>
    </font>
    <font>
      <vertAlign val="subscript"/>
      <sz val="12"/>
      <name val="Arial"/>
      <family val="2"/>
    </font>
    <font>
      <b/>
      <sz val="12"/>
      <color rgb="FF000000"/>
      <name val="Arial"/>
      <family val="2"/>
    </font>
    <font>
      <sz val="12"/>
      <color rgb="FF00B0F0"/>
      <name val="Arial"/>
      <family val="2"/>
    </font>
    <font>
      <b/>
      <sz val="12"/>
      <color rgb="FFFF0000"/>
      <name val="Arial"/>
      <family val="2"/>
    </font>
    <font>
      <i/>
      <sz val="12"/>
      <color theme="1"/>
      <name val="Arial"/>
      <family val="2"/>
    </font>
    <font>
      <i/>
      <sz val="12"/>
      <color rgb="FF000000"/>
      <name val="Arial"/>
      <family val="2"/>
    </font>
    <font>
      <i/>
      <vertAlign val="subscript"/>
      <sz val="12"/>
      <color theme="1"/>
      <name val="Arial"/>
      <family val="2"/>
    </font>
    <font>
      <b/>
      <sz val="16"/>
      <color theme="1"/>
      <name val="Arial"/>
      <family val="2"/>
    </font>
    <font>
      <b/>
      <vertAlign val="subscript"/>
      <sz val="16"/>
      <color theme="1"/>
      <name val="Arial"/>
      <family val="2"/>
    </font>
    <font>
      <b/>
      <sz val="16"/>
      <color rgb="FFFF0000"/>
      <name val="Arial"/>
      <family val="2"/>
    </font>
    <font>
      <sz val="16"/>
      <color theme="1"/>
      <name val="Arial"/>
      <family val="2"/>
    </font>
    <font>
      <b/>
      <vertAlign val="subscript"/>
      <sz val="12"/>
      <name val="Arial"/>
      <family val="2"/>
    </font>
    <font>
      <b/>
      <vertAlign val="subscript"/>
      <sz val="12"/>
      <color rgb="FF000000"/>
      <name val="Arial"/>
      <family val="2"/>
    </font>
    <font>
      <b/>
      <sz val="16"/>
      <color theme="3" tint="-0.499984740745262"/>
      <name val="Arial"/>
      <family val="2"/>
    </font>
    <font>
      <strike/>
      <sz val="12"/>
      <color theme="1"/>
      <name val="Arial"/>
      <family val="2"/>
    </font>
    <font>
      <b/>
      <sz val="14"/>
      <name val="Arial"/>
      <family val="2"/>
    </font>
    <font>
      <b/>
      <vertAlign val="subscript"/>
      <sz val="14"/>
      <name val="Arial"/>
      <family val="2"/>
    </font>
    <font>
      <sz val="10"/>
      <name val="Arial"/>
      <family val="2"/>
    </font>
    <font>
      <i/>
      <sz val="10"/>
      <color theme="1"/>
      <name val="Arial"/>
      <family val="2"/>
    </font>
    <font>
      <sz val="10"/>
      <color rgb="FFFF0000"/>
      <name val="Arial"/>
      <family val="2"/>
    </font>
    <font>
      <i/>
      <vertAlign val="subscript"/>
      <sz val="10"/>
      <color theme="1"/>
      <name val="Arial"/>
      <family val="2"/>
    </font>
    <font>
      <vertAlign val="subscript"/>
      <sz val="10"/>
      <color theme="1"/>
      <name val="Arial"/>
      <family val="2"/>
    </font>
    <font>
      <i/>
      <sz val="10"/>
      <name val="Arial"/>
      <family val="2"/>
    </font>
    <font>
      <vertAlign val="superscript"/>
      <sz val="10"/>
      <color theme="1"/>
      <name val="Arial"/>
      <family val="2"/>
    </font>
    <font>
      <b/>
      <i/>
      <sz val="12"/>
      <color theme="1"/>
      <name val="Arial"/>
      <family val="2"/>
    </font>
    <font>
      <b/>
      <i/>
      <vertAlign val="subscript"/>
      <sz val="12"/>
      <color theme="1"/>
      <name val="Arial"/>
      <family val="2"/>
    </font>
    <font>
      <vertAlign val="subscript"/>
      <sz val="10"/>
      <name val="Arial"/>
      <family val="2"/>
    </font>
    <font>
      <i/>
      <vertAlign val="subscript"/>
      <sz val="10"/>
      <name val="Arial"/>
      <family val="2"/>
    </font>
    <font>
      <i/>
      <sz val="12"/>
      <color theme="5"/>
      <name val="Arial"/>
      <family val="2"/>
    </font>
    <font>
      <u/>
      <sz val="12"/>
      <color theme="10"/>
      <name val="Calibri"/>
      <family val="2"/>
      <scheme val="minor"/>
    </font>
    <font>
      <sz val="12"/>
      <color theme="1"/>
      <name val="Calibri Light"/>
      <family val="2"/>
      <scheme val="major"/>
    </font>
    <font>
      <vertAlign val="subscript"/>
      <sz val="12"/>
      <color theme="1"/>
      <name val="Calibri Light"/>
      <family val="2"/>
      <scheme val="major"/>
    </font>
    <font>
      <b/>
      <sz val="16"/>
      <color theme="1"/>
      <name val="Calibri"/>
      <family val="2"/>
      <scheme val="minor"/>
    </font>
    <font>
      <sz val="12"/>
      <name val="Calibri Light"/>
      <family val="2"/>
      <scheme val="major"/>
    </font>
    <font>
      <i/>
      <sz val="12"/>
      <name val="Calibri Light"/>
      <family val="2"/>
      <scheme val="major"/>
    </font>
    <font>
      <i/>
      <sz val="12"/>
      <name val="Calibri Light"/>
      <family val="2"/>
    </font>
    <font>
      <sz val="12"/>
      <color theme="1"/>
      <name val="Arial Black"/>
      <family val="2"/>
    </font>
    <font>
      <i/>
      <sz val="12"/>
      <color theme="1"/>
      <name val="Calibri Light"/>
      <family val="2"/>
      <scheme val="major"/>
    </font>
    <font>
      <vertAlign val="superscript"/>
      <sz val="10"/>
      <name val="Arial"/>
      <family val="2"/>
    </font>
    <font>
      <b/>
      <sz val="12"/>
      <color theme="2" tint="-0.89999084444715716"/>
      <name val="Arial"/>
      <family val="2"/>
    </font>
    <font>
      <sz val="12"/>
      <color rgb="FF404040"/>
      <name val="Calibri Light"/>
      <family val="2"/>
      <scheme val="major"/>
    </font>
    <font>
      <u/>
      <sz val="12"/>
      <color rgb="FF404040"/>
      <name val="Calibri"/>
      <family val="2"/>
      <scheme val="minor"/>
    </font>
    <font>
      <vertAlign val="subscript"/>
      <sz val="12"/>
      <name val="Calibri Light"/>
      <family val="2"/>
      <scheme val="major"/>
    </font>
    <font>
      <sz val="12"/>
      <name val="Calibri"/>
      <family val="2"/>
      <scheme val="minor"/>
    </font>
    <font>
      <sz val="12"/>
      <color theme="4" tint="-0.249977111117893"/>
      <name val="Calibri Light"/>
      <family val="2"/>
      <scheme val="major"/>
    </font>
    <font>
      <u/>
      <sz val="12"/>
      <color theme="4" tint="-0.249977111117893"/>
      <name val="Calibri Light"/>
      <family val="2"/>
      <scheme val="major"/>
    </font>
    <font>
      <u/>
      <sz val="12"/>
      <name val="Calibri Light"/>
      <family val="2"/>
      <scheme val="major"/>
    </font>
  </fonts>
  <fills count="12">
    <fill>
      <patternFill patternType="none"/>
    </fill>
    <fill>
      <patternFill patternType="gray125"/>
    </fill>
    <fill>
      <patternFill patternType="solid">
        <fgColor rgb="FFFFD7B4"/>
        <bgColor indexed="64"/>
      </patternFill>
    </fill>
    <fill>
      <patternFill patternType="solid">
        <fgColor rgb="FFB0ABF4"/>
        <bgColor indexed="64"/>
      </patternFill>
    </fill>
    <fill>
      <patternFill patternType="solid">
        <fgColor theme="5" tint="0.59999389629810485"/>
        <bgColor indexed="64"/>
      </patternFill>
    </fill>
    <fill>
      <patternFill patternType="solid">
        <fgColor rgb="FFF8DABA"/>
        <bgColor indexed="64"/>
      </patternFill>
    </fill>
    <fill>
      <patternFill patternType="solid">
        <fgColor rgb="FFDCDAFA"/>
        <bgColor indexed="64"/>
      </patternFill>
    </fill>
    <fill>
      <patternFill patternType="solid">
        <fgColor theme="0" tint="-4.9989318521683403E-2"/>
        <bgColor indexed="64"/>
      </patternFill>
    </fill>
    <fill>
      <patternFill patternType="solid">
        <fgColor theme="0"/>
        <bgColor indexed="64"/>
      </patternFill>
    </fill>
    <fill>
      <patternFill patternType="solid">
        <fgColor rgb="FFFBEBD9"/>
        <bgColor indexed="64"/>
      </patternFill>
    </fill>
    <fill>
      <patternFill patternType="solid">
        <fgColor theme="0"/>
        <bgColor theme="0" tint="-0.14999847407452621"/>
      </patternFill>
    </fill>
    <fill>
      <patternFill patternType="solid">
        <fgColor rgb="FFFFB7B7"/>
        <bgColor indexed="64"/>
      </patternFill>
    </fill>
  </fills>
  <borders count="207">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2" tint="-9.9978637043366805E-2"/>
      </top>
      <bottom style="thin">
        <color theme="0" tint="-0.1499984740745262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medium">
        <color theme="2" tint="-9.9978637043366805E-2"/>
      </left>
      <right style="thin">
        <color theme="2" tint="-9.9978637043366805E-2"/>
      </right>
      <top style="medium">
        <color theme="2" tint="-9.9978637043366805E-2"/>
      </top>
      <bottom style="thin">
        <color theme="2" tint="-9.9978637043366805E-2"/>
      </bottom>
      <diagonal/>
    </border>
    <border>
      <left style="thin">
        <color theme="2" tint="-9.9978637043366805E-2"/>
      </left>
      <right style="thin">
        <color theme="2" tint="-9.9978637043366805E-2"/>
      </right>
      <top style="medium">
        <color theme="2" tint="-9.9978637043366805E-2"/>
      </top>
      <bottom style="thin">
        <color theme="2" tint="-9.9978637043366805E-2"/>
      </bottom>
      <diagonal/>
    </border>
    <border>
      <left style="thin">
        <color theme="2" tint="-9.9978637043366805E-2"/>
      </left>
      <right style="medium">
        <color theme="2" tint="-9.9978637043366805E-2"/>
      </right>
      <top style="medium">
        <color theme="2" tint="-9.9978637043366805E-2"/>
      </top>
      <bottom style="thin">
        <color theme="2" tint="-9.9978637043366805E-2"/>
      </bottom>
      <diagonal/>
    </border>
    <border>
      <left style="medium">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medium">
        <color theme="2" tint="-9.9978637043366805E-2"/>
      </right>
      <top style="thin">
        <color theme="2" tint="-9.9978637043366805E-2"/>
      </top>
      <bottom style="thin">
        <color theme="2" tint="-9.9978637043366805E-2"/>
      </bottom>
      <diagonal/>
    </border>
    <border>
      <left style="thin">
        <color theme="0"/>
      </left>
      <right style="thin">
        <color theme="0"/>
      </right>
      <top/>
      <bottom/>
      <diagonal/>
    </border>
    <border>
      <left style="thin">
        <color theme="0"/>
      </left>
      <right/>
      <top/>
      <bottom/>
      <diagonal/>
    </border>
    <border>
      <left style="thin">
        <color theme="2" tint="-9.9978637043366805E-2"/>
      </left>
      <right style="medium">
        <color theme="0" tint="-0.14999847407452621"/>
      </right>
      <top style="thin">
        <color theme="2" tint="-9.9978637043366805E-2"/>
      </top>
      <bottom style="thin">
        <color theme="2" tint="-9.9978637043366805E-2"/>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249977111117893"/>
      </right>
      <top style="thin">
        <color theme="0" tint="-0.14999847407452621"/>
      </top>
      <bottom style="thin">
        <color theme="0" tint="-0.14999847407452621"/>
      </bottom>
      <diagonal/>
    </border>
    <border>
      <left style="medium">
        <color theme="0" tint="-0.249977111117893"/>
      </left>
      <right style="thin">
        <color theme="0" tint="-0.14999847407452621"/>
      </right>
      <top style="thin">
        <color theme="0" tint="-0.14999847407452621"/>
      </top>
      <bottom style="medium">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n">
        <color theme="0" tint="-0.14999847407452621"/>
      </left>
      <right style="medium">
        <color theme="0" tint="-0.249977111117893"/>
      </right>
      <top style="thin">
        <color theme="0" tint="-0.14999847407452621"/>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top/>
      <bottom/>
      <diagonal/>
    </border>
    <border>
      <left style="medium">
        <color theme="0" tint="-0.249977111117893"/>
      </left>
      <right style="thin">
        <color theme="0" tint="-0.14999847407452621"/>
      </right>
      <top style="medium">
        <color theme="0" tint="-0.249977111117893"/>
      </top>
      <bottom style="thin">
        <color theme="0" tint="-0.14999847407452621"/>
      </bottom>
      <diagonal/>
    </border>
    <border>
      <left style="thin">
        <color theme="0" tint="-0.14999847407452621"/>
      </left>
      <right style="thin">
        <color theme="0" tint="-0.14999847407452621"/>
      </right>
      <top style="medium">
        <color theme="0" tint="-0.249977111117893"/>
      </top>
      <bottom style="thin">
        <color theme="0" tint="-0.14999847407452621"/>
      </bottom>
      <diagonal/>
    </border>
    <border>
      <left style="thin">
        <color theme="0" tint="-0.14999847407452621"/>
      </left>
      <right style="medium">
        <color theme="0" tint="-0.249977111117893"/>
      </right>
      <top style="medium">
        <color theme="0" tint="-0.249977111117893"/>
      </top>
      <bottom style="thin">
        <color theme="0" tint="-0.14999847407452621"/>
      </bottom>
      <diagonal/>
    </border>
    <border>
      <left style="medium">
        <color theme="0" tint="-0.249977111117893"/>
      </left>
      <right style="thin">
        <color theme="2" tint="-9.9978637043366805E-2"/>
      </right>
      <top style="thin">
        <color theme="2" tint="-9.9978637043366805E-2"/>
      </top>
      <bottom style="thin">
        <color theme="2" tint="-9.9978637043366805E-2"/>
      </bottom>
      <diagonal/>
    </border>
    <border>
      <left style="thin">
        <color theme="2" tint="-9.9978637043366805E-2"/>
      </left>
      <right style="medium">
        <color theme="0" tint="-0.249977111117893"/>
      </right>
      <top style="thin">
        <color theme="2" tint="-9.9978637043366805E-2"/>
      </top>
      <bottom style="thin">
        <color theme="2" tint="-9.9978637043366805E-2"/>
      </bottom>
      <diagonal/>
    </border>
    <border>
      <left style="thin">
        <color theme="0" tint="-0.14999847407452621"/>
      </left>
      <right style="medium">
        <color theme="0" tint="-0.249977111117893"/>
      </right>
      <top style="thin">
        <color theme="0" tint="-0.14999847407452621"/>
      </top>
      <bottom/>
      <diagonal/>
    </border>
    <border>
      <left style="thin">
        <color theme="0" tint="-0.14999847407452621"/>
      </left>
      <right style="medium">
        <color theme="0" tint="-0.249977111117893"/>
      </right>
      <top/>
      <bottom/>
      <diagonal/>
    </border>
    <border>
      <left style="thin">
        <color theme="0" tint="-0.14999847407452621"/>
      </left>
      <right style="medium">
        <color theme="0" tint="-0.249977111117893"/>
      </right>
      <top/>
      <bottom style="medium">
        <color theme="0" tint="-0.249977111117893"/>
      </bottom>
      <diagonal/>
    </border>
    <border>
      <left style="thin">
        <color theme="0" tint="-0.14999847407452621"/>
      </left>
      <right style="medium">
        <color theme="0" tint="-0.249977111117893"/>
      </right>
      <top/>
      <bottom style="thin">
        <color theme="0" tint="-0.14999847407452621"/>
      </bottom>
      <diagonal/>
    </border>
    <border>
      <left style="thin">
        <color theme="0" tint="-0.14999847407452621"/>
      </left>
      <right/>
      <top style="medium">
        <color theme="0" tint="-0.249977111117893"/>
      </top>
      <bottom style="thin">
        <color theme="0" tint="-0.14999847407452621"/>
      </bottom>
      <diagonal/>
    </border>
    <border>
      <left/>
      <right style="thin">
        <color theme="0" tint="-0.14999847407452621"/>
      </right>
      <top style="medium">
        <color theme="0" tint="-0.249977111117893"/>
      </top>
      <bottom style="thin">
        <color theme="0" tint="-0.14999847407452621"/>
      </bottom>
      <diagonal/>
    </border>
    <border>
      <left style="thin">
        <color theme="0" tint="-0.14999847407452621"/>
      </left>
      <right/>
      <top style="thin">
        <color theme="0" tint="-0.14999847407452621"/>
      </top>
      <bottom style="medium">
        <color theme="0" tint="-0.249977111117893"/>
      </bottom>
      <diagonal/>
    </border>
    <border>
      <left/>
      <right style="thin">
        <color theme="0" tint="-0.14999847407452621"/>
      </right>
      <top style="thin">
        <color theme="0" tint="-0.14999847407452621"/>
      </top>
      <bottom style="medium">
        <color theme="0" tint="-0.249977111117893"/>
      </bottom>
      <diagonal/>
    </border>
    <border>
      <left style="medium">
        <color theme="0" tint="-0.249977111117893"/>
      </left>
      <right style="thin">
        <color theme="0" tint="-0.249977111117893"/>
      </right>
      <top style="medium">
        <color theme="0" tint="-0.249977111117893"/>
      </top>
      <bottom/>
      <diagonal/>
    </border>
    <border>
      <left style="medium">
        <color theme="0" tint="-0.249977111117893"/>
      </left>
      <right style="thin">
        <color theme="0" tint="-0.249977111117893"/>
      </right>
      <top/>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2" tint="-9.9978637043366805E-2"/>
      </right>
      <top style="thin">
        <color theme="2" tint="-9.9978637043366805E-2"/>
      </top>
      <bottom style="thin">
        <color theme="2" tint="-9.9978637043366805E-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style="thin">
        <color theme="0" tint="-0.34998626667073579"/>
      </bottom>
      <diagonal/>
    </border>
    <border>
      <left/>
      <right style="thin">
        <color theme="0" tint="-0.34998626667073579"/>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249977111117893"/>
      </left>
      <right style="medium">
        <color theme="0" tint="-0.249977111117893"/>
      </right>
      <top/>
      <bottom style="thin">
        <color theme="0" tint="-0.249977111117893"/>
      </bottom>
      <diagonal/>
    </border>
    <border>
      <left style="thin">
        <color theme="2" tint="-9.9978637043366805E-2"/>
      </left>
      <right/>
      <top style="thin">
        <color theme="2" tint="-9.9978637043366805E-2"/>
      </top>
      <bottom style="thin">
        <color theme="2" tint="-9.9978637043366805E-2"/>
      </bottom>
      <diagonal/>
    </border>
    <border>
      <left style="thin">
        <color theme="0" tint="-0.14999847407452621"/>
      </left>
      <right style="thin">
        <color theme="0" tint="-0.14999847407452621"/>
      </right>
      <top style="medium">
        <color theme="0" tint="-0.249977111117893"/>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thin">
        <color theme="0" tint="-0.14999847407452621"/>
      </right>
      <top style="medium">
        <color theme="0" tint="-0.249977111117893"/>
      </top>
      <bottom/>
      <diagonal/>
    </border>
    <border>
      <left style="medium">
        <color theme="0" tint="-0.249977111117893"/>
      </left>
      <right style="thin">
        <color theme="0" tint="-0.14999847407452621"/>
      </right>
      <top/>
      <bottom/>
      <diagonal/>
    </border>
    <border>
      <left style="medium">
        <color theme="0" tint="-0.249977111117893"/>
      </left>
      <right style="thin">
        <color theme="0" tint="-0.14999847407452621"/>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2" tint="-9.9978637043366805E-2"/>
      </right>
      <top style="thin">
        <color theme="2" tint="-9.9978637043366805E-2"/>
      </top>
      <bottom style="medium">
        <color theme="0" tint="-0.249977111117893"/>
      </bottom>
      <diagonal/>
    </border>
    <border>
      <left style="thin">
        <color theme="2" tint="-9.9978637043366805E-2"/>
      </left>
      <right style="thin">
        <color theme="2" tint="-9.9978637043366805E-2"/>
      </right>
      <top style="thin">
        <color theme="2" tint="-9.9978637043366805E-2"/>
      </top>
      <bottom style="medium">
        <color theme="0" tint="-0.249977111117893"/>
      </bottom>
      <diagonal/>
    </border>
    <border>
      <left style="thin">
        <color theme="2" tint="-9.9978637043366805E-2"/>
      </left>
      <right style="medium">
        <color theme="0" tint="-0.249977111117893"/>
      </right>
      <top style="thin">
        <color theme="2" tint="-9.9978637043366805E-2"/>
      </top>
      <bottom style="medium">
        <color theme="0" tint="-0.249977111117893"/>
      </bottom>
      <diagonal/>
    </border>
    <border>
      <left style="medium">
        <color theme="0" tint="-0.249977111117893"/>
      </left>
      <right style="thin">
        <color theme="0" tint="-0.14999847407452621"/>
      </right>
      <top style="medium">
        <color theme="0" tint="-0.249977111117893"/>
      </top>
      <bottom style="medium">
        <color theme="0" tint="-0.249977111117893"/>
      </bottom>
      <diagonal/>
    </border>
    <border>
      <left style="thin">
        <color theme="0" tint="-0.14999847407452621"/>
      </left>
      <right style="thin">
        <color theme="0" tint="-0.14999847407452621"/>
      </right>
      <top style="medium">
        <color theme="0" tint="-0.249977111117893"/>
      </top>
      <bottom style="medium">
        <color theme="0" tint="-0.249977111117893"/>
      </bottom>
      <diagonal/>
    </border>
    <border>
      <left style="thin">
        <color theme="0" tint="-0.14999847407452621"/>
      </left>
      <right style="medium">
        <color theme="0" tint="-0.249977111117893"/>
      </right>
      <top style="medium">
        <color theme="0" tint="-0.249977111117893"/>
      </top>
      <bottom style="medium">
        <color theme="0" tint="-0.249977111117893"/>
      </bottom>
      <diagonal/>
    </border>
    <border>
      <left style="medium">
        <color theme="2" tint="-9.9978637043366805E-2"/>
      </left>
      <right style="thin">
        <color theme="2" tint="-9.9978637043366805E-2"/>
      </right>
      <top style="thin">
        <color theme="2" tint="-9.9978637043366805E-2"/>
      </top>
      <bottom style="medium">
        <color theme="2" tint="-9.9978637043366805E-2"/>
      </bottom>
      <diagonal/>
    </border>
    <border>
      <left style="thin">
        <color theme="2" tint="-9.9978637043366805E-2"/>
      </left>
      <right style="thin">
        <color theme="2" tint="-9.9978637043366805E-2"/>
      </right>
      <top style="thin">
        <color theme="2" tint="-9.9978637043366805E-2"/>
      </top>
      <bottom style="medium">
        <color theme="2" tint="-9.9978637043366805E-2"/>
      </bottom>
      <diagonal/>
    </border>
    <border>
      <left style="thin">
        <color theme="2" tint="-9.9978637043366805E-2"/>
      </left>
      <right style="medium">
        <color theme="2" tint="-9.9978637043366805E-2"/>
      </right>
      <top style="thin">
        <color theme="2" tint="-9.9978637043366805E-2"/>
      </top>
      <bottom style="medium">
        <color theme="2" tint="-9.9978637043366805E-2"/>
      </bottom>
      <diagonal/>
    </border>
    <border>
      <left style="medium">
        <color theme="2" tint="-0.249977111117893"/>
      </left>
      <right style="thin">
        <color theme="0" tint="-0.14999847407452621"/>
      </right>
      <top style="medium">
        <color theme="2" tint="-0.249977111117893"/>
      </top>
      <bottom style="thin">
        <color theme="0" tint="-0.14999847407452621"/>
      </bottom>
      <diagonal/>
    </border>
    <border>
      <left style="thin">
        <color theme="0" tint="-0.14999847407452621"/>
      </left>
      <right style="thin">
        <color theme="0" tint="-0.14999847407452621"/>
      </right>
      <top style="medium">
        <color theme="2" tint="-0.249977111117893"/>
      </top>
      <bottom style="thin">
        <color theme="0" tint="-0.14999847407452621"/>
      </bottom>
      <diagonal/>
    </border>
    <border>
      <left style="thin">
        <color theme="0" tint="-0.14999847407452621"/>
      </left>
      <right style="medium">
        <color theme="2" tint="-0.249977111117893"/>
      </right>
      <top style="medium">
        <color theme="2" tint="-0.249977111117893"/>
      </top>
      <bottom style="thin">
        <color theme="0" tint="-0.14999847407452621"/>
      </bottom>
      <diagonal/>
    </border>
    <border>
      <left style="medium">
        <color theme="2" tint="-0.249977111117893"/>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2" tint="-0.249977111117893"/>
      </right>
      <top style="thin">
        <color theme="0" tint="-0.14999847407452621"/>
      </top>
      <bottom style="thin">
        <color theme="0" tint="-0.14999847407452621"/>
      </bottom>
      <diagonal/>
    </border>
    <border>
      <left style="medium">
        <color theme="2" tint="-0.249977111117893"/>
      </left>
      <right style="thin">
        <color theme="0" tint="-0.14999847407452621"/>
      </right>
      <top style="thin">
        <color theme="0" tint="-0.14999847407452621"/>
      </top>
      <bottom style="medium">
        <color theme="2" tint="-0.249977111117893"/>
      </bottom>
      <diagonal/>
    </border>
    <border>
      <left style="thin">
        <color theme="0" tint="-0.14999847407452621"/>
      </left>
      <right style="thin">
        <color theme="0" tint="-0.14999847407452621"/>
      </right>
      <top style="thin">
        <color theme="0" tint="-0.14999847407452621"/>
      </top>
      <bottom style="medium">
        <color theme="2" tint="-0.249977111117893"/>
      </bottom>
      <diagonal/>
    </border>
    <border>
      <left style="thin">
        <color theme="0" tint="-0.14999847407452621"/>
      </left>
      <right style="medium">
        <color theme="2" tint="-0.249977111117893"/>
      </right>
      <top style="thin">
        <color theme="0" tint="-0.14999847407452621"/>
      </top>
      <bottom style="medium">
        <color theme="2" tint="-0.249977111117893"/>
      </bottom>
      <diagonal/>
    </border>
    <border>
      <left/>
      <right/>
      <top/>
      <bottom style="thin">
        <color theme="0" tint="-0.34998626667073579"/>
      </bottom>
      <diagonal/>
    </border>
    <border>
      <left/>
      <right style="thin">
        <color theme="2" tint="-9.9978637043366805E-2"/>
      </right>
      <top/>
      <bottom/>
      <diagonal/>
    </border>
    <border>
      <left style="thin">
        <color theme="0" tint="-0.249977111117893"/>
      </left>
      <right style="thin">
        <color theme="0" tint="-0.14999847407452621"/>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medium">
        <color theme="0" tint="-0.34998626667073579"/>
      </left>
      <right style="thin">
        <color theme="0" tint="-0.14999847407452621"/>
      </right>
      <top style="medium">
        <color theme="0" tint="-0.34998626667073579"/>
      </top>
      <bottom style="medium">
        <color theme="0" tint="-0.34998626667073579"/>
      </bottom>
      <diagonal/>
    </border>
    <border>
      <left style="thin">
        <color theme="0" tint="-0.14999847407452621"/>
      </left>
      <right style="thin">
        <color theme="0" tint="-0.14999847407452621"/>
      </right>
      <top style="medium">
        <color theme="0" tint="-0.34998626667073579"/>
      </top>
      <bottom style="medium">
        <color theme="0" tint="-0.34998626667073579"/>
      </bottom>
      <diagonal/>
    </border>
    <border>
      <left style="thin">
        <color theme="0" tint="-0.14999847407452621"/>
      </left>
      <right style="medium">
        <color theme="0" tint="-0.14999847407452621"/>
      </right>
      <top style="medium">
        <color theme="0" tint="-0.34998626667073579"/>
      </top>
      <bottom style="medium">
        <color theme="0" tint="-0.34998626667073579"/>
      </bottom>
      <diagonal/>
    </border>
    <border>
      <left style="thin">
        <color theme="0" tint="-0.14999847407452621"/>
      </left>
      <right style="medium">
        <color theme="0" tint="-0.34998626667073579"/>
      </right>
      <top style="medium">
        <color theme="0" tint="-0.34998626667073579"/>
      </top>
      <bottom style="medium">
        <color theme="0" tint="-0.34998626667073579"/>
      </bottom>
      <diagonal/>
    </border>
    <border>
      <left/>
      <right style="thin">
        <color theme="0" tint="-0.14999847407452621"/>
      </right>
      <top style="medium">
        <color theme="0" tint="-0.34998626667073579"/>
      </top>
      <bottom style="medium">
        <color theme="0" tint="-0.34998626667073579"/>
      </bottom>
      <diagonal/>
    </border>
    <border>
      <left style="thin">
        <color theme="0" tint="-0.14999847407452621"/>
      </left>
      <right/>
      <top style="medium">
        <color theme="0" tint="-0.34998626667073579"/>
      </top>
      <bottom style="medium">
        <color theme="0" tint="-0.34998626667073579"/>
      </bottom>
      <diagonal/>
    </border>
    <border>
      <left style="medium">
        <color theme="0" tint="-0.34998626667073579"/>
      </left>
      <right style="thin">
        <color theme="0" tint="-0.14999847407452621"/>
      </right>
      <top style="medium">
        <color theme="0" tint="-0.34998626667073579"/>
      </top>
      <bottom style="thin">
        <color theme="0" tint="-0.14999847407452621"/>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0.249977111117893"/>
      </right>
      <top style="medium">
        <color theme="0" tint="-0.34998626667073579"/>
      </top>
      <bottom style="thin">
        <color theme="0" tint="-0.249977111117893"/>
      </bottom>
      <diagonal/>
    </border>
    <border>
      <left style="medium">
        <color theme="0" tint="-0.34998626667073579"/>
      </left>
      <right style="thin">
        <color theme="0" tint="-0.14999847407452621"/>
      </right>
      <top/>
      <bottom style="medium">
        <color theme="0" tint="-0.34998626667073579"/>
      </bottom>
      <diagonal/>
    </border>
    <border>
      <left style="thin">
        <color theme="0" tint="-0.14999847407452621"/>
      </left>
      <right style="thin">
        <color theme="0" tint="-0.14999847407452621"/>
      </right>
      <top/>
      <bottom style="medium">
        <color theme="0" tint="-0.34998626667073579"/>
      </bottom>
      <diagonal/>
    </border>
    <border>
      <left style="thin">
        <color theme="0" tint="-0.14999847407452621"/>
      </left>
      <right style="medium">
        <color theme="0" tint="-0.34998626667073579"/>
      </right>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thin">
        <color theme="0" tint="-0.14999847407452621"/>
      </left>
      <right style="thin">
        <color theme="0" tint="-0.14999847407452621"/>
      </right>
      <top style="medium">
        <color theme="0" tint="-0.34998626667073579"/>
      </top>
      <bottom style="thin">
        <color theme="0" tint="-0.14999847407452621"/>
      </bottom>
      <diagonal/>
    </border>
    <border>
      <left style="thin">
        <color theme="0" tint="-0.14999847407452621"/>
      </left>
      <right style="medium">
        <color theme="0" tint="-0.14999847407452621"/>
      </right>
      <top style="medium">
        <color theme="0" tint="-0.34998626667073579"/>
      </top>
      <bottom style="thin">
        <color theme="0" tint="-0.14999847407452621"/>
      </bottom>
      <diagonal/>
    </border>
    <border>
      <left style="thin">
        <color theme="0" tint="-0.14999847407452621"/>
      </left>
      <right style="medium">
        <color theme="0" tint="-0.34998626667073579"/>
      </right>
      <top style="medium">
        <color theme="0" tint="-0.34998626667073579"/>
      </top>
      <bottom style="thin">
        <color theme="0" tint="-0.14999847407452621"/>
      </bottom>
      <diagonal/>
    </border>
    <border>
      <left style="medium">
        <color theme="0" tint="-0.34998626667073579"/>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34998626667073579"/>
      </right>
      <top style="thin">
        <color theme="0" tint="-0.14999847407452621"/>
      </top>
      <bottom style="thin">
        <color theme="0" tint="-0.14999847407452621"/>
      </bottom>
      <diagonal/>
    </border>
    <border>
      <left style="medium">
        <color theme="0" tint="-0.34998626667073579"/>
      </left>
      <right style="thin">
        <color theme="0" tint="-0.14999847407452621"/>
      </right>
      <top style="thin">
        <color theme="0" tint="-0.14999847407452621"/>
      </top>
      <bottom style="medium">
        <color theme="0" tint="-0.34998626667073579"/>
      </bottom>
      <diagonal/>
    </border>
    <border>
      <left style="thin">
        <color theme="0" tint="-0.14999847407452621"/>
      </left>
      <right style="thin">
        <color theme="0" tint="-0.14999847407452621"/>
      </right>
      <top style="thin">
        <color theme="0" tint="-0.14999847407452621"/>
      </top>
      <bottom style="medium">
        <color theme="0" tint="-0.34998626667073579"/>
      </bottom>
      <diagonal/>
    </border>
    <border>
      <left style="thin">
        <color theme="0" tint="-0.14999847407452621"/>
      </left>
      <right style="medium">
        <color theme="0" tint="-0.34998626667073579"/>
      </right>
      <top style="thin">
        <color theme="0" tint="-0.14999847407452621"/>
      </top>
      <bottom style="medium">
        <color theme="0" tint="-0.34998626667073579"/>
      </bottom>
      <diagonal/>
    </border>
    <border>
      <left style="thin">
        <color theme="0" tint="-0.14999847407452621"/>
      </left>
      <right style="medium">
        <color theme="0" tint="-0.14999847407452621"/>
      </right>
      <top style="thin">
        <color theme="0" tint="-0.14999847407452621"/>
      </top>
      <bottom style="medium">
        <color theme="0" tint="-0.34998626667073579"/>
      </bottom>
      <diagonal/>
    </border>
    <border>
      <left style="medium">
        <color theme="0" tint="-0.34998626667073579"/>
      </left>
      <right style="thin">
        <color theme="2" tint="-9.9978637043366805E-2"/>
      </right>
      <top style="medium">
        <color theme="0" tint="-0.34998626667073579"/>
      </top>
      <bottom/>
      <diagonal/>
    </border>
    <border>
      <left style="thin">
        <color theme="2" tint="-9.9978637043366805E-2"/>
      </left>
      <right/>
      <top style="medium">
        <color theme="0" tint="-0.34998626667073579"/>
      </top>
      <bottom style="thin">
        <color theme="2" tint="-9.9978637043366805E-2"/>
      </bottom>
      <diagonal/>
    </border>
    <border>
      <left/>
      <right/>
      <top style="medium">
        <color theme="0" tint="-0.34998626667073579"/>
      </top>
      <bottom style="thin">
        <color theme="2" tint="-9.9978637043366805E-2"/>
      </bottom>
      <diagonal/>
    </border>
    <border>
      <left/>
      <right style="medium">
        <color theme="0" tint="-0.34998626667073579"/>
      </right>
      <top style="medium">
        <color theme="0" tint="-0.34998626667073579"/>
      </top>
      <bottom style="thin">
        <color theme="2" tint="-9.9978637043366805E-2"/>
      </bottom>
      <diagonal/>
    </border>
    <border>
      <left style="medium">
        <color theme="0" tint="-0.34998626667073579"/>
      </left>
      <right style="thin">
        <color theme="2" tint="-9.9978637043366805E-2"/>
      </right>
      <top/>
      <bottom style="thin">
        <color theme="2" tint="-9.9978637043366805E-2"/>
      </bottom>
      <diagonal/>
    </border>
    <border>
      <left style="thin">
        <color theme="2" tint="-9.9978637043366805E-2"/>
      </left>
      <right style="medium">
        <color theme="0" tint="-0.34998626667073579"/>
      </right>
      <top style="thin">
        <color theme="2" tint="-9.9978637043366805E-2"/>
      </top>
      <bottom style="thin">
        <color theme="2" tint="-9.9978637043366805E-2"/>
      </bottom>
      <diagonal/>
    </border>
    <border>
      <left style="medium">
        <color theme="0" tint="-0.34998626667073579"/>
      </left>
      <right style="thin">
        <color theme="2" tint="-9.9978637043366805E-2"/>
      </right>
      <top style="thin">
        <color theme="2" tint="-9.9978637043366805E-2"/>
      </top>
      <bottom style="thin">
        <color theme="2" tint="-9.9978637043366805E-2"/>
      </bottom>
      <diagonal/>
    </border>
    <border>
      <left style="medium">
        <color theme="0" tint="-0.34998626667073579"/>
      </left>
      <right style="thin">
        <color theme="2" tint="-9.9978637043366805E-2"/>
      </right>
      <top style="thin">
        <color theme="2" tint="-9.9978637043366805E-2"/>
      </top>
      <bottom style="medium">
        <color theme="0" tint="-0.34998626667073579"/>
      </bottom>
      <diagonal/>
    </border>
    <border>
      <left style="thin">
        <color theme="2" tint="-9.9978637043366805E-2"/>
      </left>
      <right style="thin">
        <color theme="2" tint="-9.9978637043366805E-2"/>
      </right>
      <top style="thin">
        <color theme="2" tint="-9.9978637043366805E-2"/>
      </top>
      <bottom style="medium">
        <color theme="0" tint="-0.34998626667073579"/>
      </bottom>
      <diagonal/>
    </border>
    <border>
      <left style="thin">
        <color theme="2" tint="-9.9978637043366805E-2"/>
      </left>
      <right style="medium">
        <color theme="0" tint="-0.34998626667073579"/>
      </right>
      <top style="thin">
        <color theme="2" tint="-9.9978637043366805E-2"/>
      </top>
      <bottom style="medium">
        <color theme="0" tint="-0.34998626667073579"/>
      </bottom>
      <diagonal/>
    </border>
    <border>
      <left style="thin">
        <color theme="2" tint="-9.9978637043366805E-2"/>
      </left>
      <right style="thin">
        <color theme="2" tint="-9.9978637043366805E-2"/>
      </right>
      <top style="medium">
        <color theme="0" tint="-0.34998626667073579"/>
      </top>
      <bottom style="thin">
        <color theme="2" tint="-9.9978637043366805E-2"/>
      </bottom>
      <diagonal/>
    </border>
    <border>
      <left style="thin">
        <color theme="2" tint="-9.9978637043366805E-2"/>
      </left>
      <right style="medium">
        <color theme="0" tint="-0.14999847407452621"/>
      </right>
      <top style="medium">
        <color theme="0" tint="-0.34998626667073579"/>
      </top>
      <bottom style="thin">
        <color theme="2" tint="-9.9978637043366805E-2"/>
      </bottom>
      <diagonal/>
    </border>
    <border>
      <left style="thin">
        <color theme="2" tint="-9.9978637043366805E-2"/>
      </left>
      <right style="medium">
        <color theme="0" tint="-0.34998626667073579"/>
      </right>
      <top style="medium">
        <color theme="0" tint="-0.34998626667073579"/>
      </top>
      <bottom style="thin">
        <color theme="2" tint="-9.9978637043366805E-2"/>
      </bottom>
      <diagonal/>
    </border>
    <border>
      <left style="medium">
        <color theme="0" tint="-0.34998626667073579"/>
      </left>
      <right style="thin">
        <color theme="2" tint="-9.9978637043366805E-2"/>
      </right>
      <top/>
      <bottom/>
      <diagonal/>
    </border>
    <border>
      <left style="medium">
        <color theme="0" tint="-0.34998626667073579"/>
      </left>
      <right style="thin">
        <color theme="2" tint="-9.9978637043366805E-2"/>
      </right>
      <top/>
      <bottom style="medium">
        <color theme="0" tint="-0.34998626667073579"/>
      </bottom>
      <diagonal/>
    </border>
    <border>
      <left style="thin">
        <color theme="2" tint="-9.9978637043366805E-2"/>
      </left>
      <right style="thin">
        <color theme="2" tint="-9.9978637043366805E-2"/>
      </right>
      <top style="medium">
        <color theme="0" tint="-0.34998626667073579"/>
      </top>
      <bottom style="medium">
        <color theme="0" tint="-0.34998626667073579"/>
      </bottom>
      <diagonal/>
    </border>
    <border>
      <left style="thin">
        <color theme="2" tint="-9.9978637043366805E-2"/>
      </left>
      <right style="medium">
        <color theme="0" tint="-0.14999847407452621"/>
      </right>
      <top style="medium">
        <color theme="0" tint="-0.34998626667073579"/>
      </top>
      <bottom style="medium">
        <color theme="0" tint="-0.34998626667073579"/>
      </bottom>
      <diagonal/>
    </border>
    <border>
      <left style="thin">
        <color theme="2" tint="-9.9978637043366805E-2"/>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2" tint="-9.9978637043366805E-2"/>
      </right>
      <top style="medium">
        <color theme="0" tint="-0.34998626667073579"/>
      </top>
      <bottom style="thin">
        <color theme="2" tint="-9.9978637043366805E-2"/>
      </bottom>
      <diagonal/>
    </border>
    <border>
      <left style="thin">
        <color theme="2" tint="-9.9978637043366805E-2"/>
      </left>
      <right style="medium">
        <color theme="0" tint="-0.14999847407452621"/>
      </right>
      <top style="thin">
        <color theme="2" tint="-9.9978637043366805E-2"/>
      </top>
      <bottom style="medium">
        <color theme="0" tint="-0.34998626667073579"/>
      </bottom>
      <diagonal/>
    </border>
    <border>
      <left style="medium">
        <color theme="0" tint="-0.34998626667073579"/>
      </left>
      <right style="thin">
        <color theme="2" tint="-9.9978637043366805E-2"/>
      </right>
      <top style="medium">
        <color theme="0" tint="-0.34998626667073579"/>
      </top>
      <bottom style="medium">
        <color theme="0" tint="-0.34998626667073579"/>
      </bottom>
      <diagonal/>
    </border>
    <border>
      <left/>
      <right style="medium">
        <color theme="0" tint="-0.34998626667073579"/>
      </right>
      <top style="thin">
        <color theme="0" tint="-0.14999847407452621"/>
      </top>
      <bottom style="thin">
        <color theme="0" tint="-0.14999847407452621"/>
      </bottom>
      <diagonal/>
    </border>
    <border>
      <left/>
      <right style="medium">
        <color theme="0" tint="-0.34998626667073579"/>
      </right>
      <top style="thin">
        <color theme="0" tint="-0.249977111117893"/>
      </top>
      <bottom style="thin">
        <color theme="0" tint="-0.249977111117893"/>
      </bottom>
      <diagonal/>
    </border>
    <border>
      <left style="thin">
        <color theme="2" tint="-9.9978637043366805E-2"/>
      </left>
      <right style="thin">
        <color theme="2" tint="-9.9978637043366805E-2"/>
      </right>
      <top style="medium">
        <color theme="0" tint="-0.34998626667073579"/>
      </top>
      <bottom/>
      <diagonal/>
    </border>
    <border>
      <left style="thin">
        <color theme="2" tint="-9.9978637043366805E-2"/>
      </left>
      <right style="medium">
        <color theme="0" tint="-0.34998626667073579"/>
      </right>
      <top style="medium">
        <color theme="0" tint="-0.34998626667073579"/>
      </top>
      <bottom/>
      <diagonal/>
    </border>
    <border>
      <left style="thin">
        <color theme="0" tint="-0.14999847407452621"/>
      </left>
      <right/>
      <top style="medium">
        <color theme="0" tint="-0.34998626667073579"/>
      </top>
      <bottom style="thin">
        <color theme="2" tint="-9.9978637043366805E-2"/>
      </bottom>
      <diagonal/>
    </border>
    <border>
      <left style="thin">
        <color theme="2" tint="-9.9978637043366805E-2"/>
      </left>
      <right style="medium">
        <color theme="0" tint="-0.34998626667073579"/>
      </right>
      <top style="medium">
        <color theme="0" tint="-0.34998626667073579"/>
      </top>
      <bottom style="thin">
        <color theme="0" tint="-0.14999847407452621"/>
      </bottom>
      <diagonal/>
    </border>
    <border>
      <left style="medium">
        <color theme="0" tint="-0.34998626667073579"/>
      </left>
      <right style="thin">
        <color theme="2" tint="-9.9978637043366805E-2"/>
      </right>
      <top style="thin">
        <color theme="0" tint="-0.14999847407452621"/>
      </top>
      <bottom style="thin">
        <color theme="0" tint="-0.14999847407452621"/>
      </bottom>
      <diagonal/>
    </border>
    <border>
      <left style="medium">
        <color theme="0" tint="-0.34998626667073579"/>
      </left>
      <right style="thin">
        <color theme="2" tint="-9.9978637043366805E-2"/>
      </right>
      <top style="thin">
        <color theme="0" tint="-0.14999847407452621"/>
      </top>
      <bottom style="medium">
        <color theme="0" tint="-0.34998626667073579"/>
      </bottom>
      <diagonal/>
    </border>
    <border>
      <left/>
      <right style="thin">
        <color theme="2" tint="-9.9978637043366805E-2"/>
      </right>
      <top/>
      <bottom style="medium">
        <color theme="0" tint="-0.34998626667073579"/>
      </bottom>
      <diagonal/>
    </border>
    <border>
      <left/>
      <right style="medium">
        <color theme="0" tint="-0.34998626667073579"/>
      </right>
      <top style="thin">
        <color theme="0" tint="-0.14999847407452621"/>
      </top>
      <bottom style="medium">
        <color theme="0" tint="-0.34998626667073579"/>
      </bottom>
      <diagonal/>
    </border>
    <border>
      <left style="medium">
        <color theme="0" tint="-0.34998626667073579"/>
      </left>
      <right/>
      <top/>
      <bottom/>
      <diagonal/>
    </border>
    <border>
      <left/>
      <right style="medium">
        <color theme="0" tint="-0.34998626667073579"/>
      </right>
      <top/>
      <bottom/>
      <diagonal/>
    </border>
    <border>
      <left/>
      <right/>
      <top style="medium">
        <color theme="0" tint="-0.34998626667073579"/>
      </top>
      <bottom style="medium">
        <color theme="0" tint="-0.34998626667073579"/>
      </bottom>
      <diagonal/>
    </border>
    <border>
      <left style="thin">
        <color theme="2" tint="-9.9978637043366805E-2"/>
      </left>
      <right style="medium">
        <color theme="2" tint="-9.9978637043366805E-2"/>
      </right>
      <top style="medium">
        <color theme="0" tint="-0.34998626667073579"/>
      </top>
      <bottom style="medium">
        <color theme="0" tint="-0.34998626667073579"/>
      </bottom>
      <diagonal/>
    </border>
    <border>
      <left style="thin">
        <color theme="2" tint="-9.9978637043366805E-2"/>
      </left>
      <right style="medium">
        <color theme="2" tint="-9.9978637043366805E-2"/>
      </right>
      <top style="medium">
        <color theme="0" tint="-0.34998626667073579"/>
      </top>
      <bottom style="thin">
        <color theme="2" tint="-9.9978637043366805E-2"/>
      </bottom>
      <diagonal/>
    </border>
    <border>
      <left style="thin">
        <color theme="2" tint="-9.9978637043366805E-2"/>
      </left>
      <right style="medium">
        <color theme="2" tint="-9.9978637043366805E-2"/>
      </right>
      <top style="thin">
        <color theme="2" tint="-9.9978637043366805E-2"/>
      </top>
      <bottom style="medium">
        <color theme="0" tint="-0.34998626667073579"/>
      </bottom>
      <diagonal/>
    </border>
    <border>
      <left style="thin">
        <color theme="0"/>
      </left>
      <right/>
      <top style="medium">
        <color theme="0" tint="-0.34998626667073579"/>
      </top>
      <bottom/>
      <diagonal/>
    </border>
    <border>
      <left/>
      <right style="thin">
        <color theme="0"/>
      </right>
      <top style="medium">
        <color theme="0" tint="-0.34998626667073579"/>
      </top>
      <bottom style="medium">
        <color theme="0" tint="-0.34998626667073579"/>
      </bottom>
      <diagonal/>
    </border>
    <border>
      <left style="medium">
        <color theme="0" tint="-0.34998626667073579"/>
      </left>
      <right style="thin">
        <color theme="2" tint="-0.249977111117893"/>
      </right>
      <top style="medium">
        <color theme="0" tint="-0.34998626667073579"/>
      </top>
      <bottom style="thin">
        <color theme="2" tint="-0.249977111117893"/>
      </bottom>
      <diagonal/>
    </border>
    <border>
      <left style="thin">
        <color theme="2" tint="-0.249977111117893"/>
      </left>
      <right style="thin">
        <color theme="2" tint="-0.249977111117893"/>
      </right>
      <top style="medium">
        <color theme="0" tint="-0.34998626667073579"/>
      </top>
      <bottom style="thin">
        <color theme="2" tint="-0.249977111117893"/>
      </bottom>
      <diagonal/>
    </border>
    <border>
      <left style="thin">
        <color theme="2" tint="-0.249977111117893"/>
      </left>
      <right style="medium">
        <color theme="0" tint="-0.34998626667073579"/>
      </right>
      <top style="medium">
        <color theme="0" tint="-0.34998626667073579"/>
      </top>
      <bottom style="thin">
        <color theme="2" tint="-0.249977111117893"/>
      </bottom>
      <diagonal/>
    </border>
    <border>
      <left style="thin">
        <color theme="2" tint="-0.249977111117893"/>
      </left>
      <right style="thin">
        <color theme="2" tint="-0.249977111117893"/>
      </right>
      <top style="thin">
        <color theme="2" tint="-0.249977111117893"/>
      </top>
      <bottom style="medium">
        <color theme="0" tint="-0.34998626667073579"/>
      </bottom>
      <diagonal/>
    </border>
    <border>
      <left style="thin">
        <color theme="2" tint="-0.249977111117893"/>
      </left>
      <right style="medium">
        <color theme="0" tint="-0.34998626667073579"/>
      </right>
      <top style="thin">
        <color theme="2" tint="-0.249977111117893"/>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top/>
      <bottom style="thin">
        <color theme="0" tint="-0.34998626667073579"/>
      </bottom>
      <diagonal/>
    </border>
    <border>
      <left style="thin">
        <color theme="2" tint="-0.249977111117893"/>
      </left>
      <right/>
      <top style="thin">
        <color theme="2" tint="-0.249977111117893"/>
      </top>
      <bottom style="medium">
        <color theme="0" tint="-0.34998626667073579"/>
      </bottom>
      <diagonal/>
    </border>
    <border>
      <left/>
      <right style="medium">
        <color theme="0" tint="-0.34998626667073579"/>
      </right>
      <top style="thin">
        <color theme="2" tint="-0.249977111117893"/>
      </top>
      <bottom style="medium">
        <color theme="0" tint="-0.34998626667073579"/>
      </bottom>
      <diagonal/>
    </border>
    <border>
      <left style="medium">
        <color theme="0" tint="-0.34998626667073579"/>
      </left>
      <right style="thin">
        <color theme="0" tint="-0.249977111117893"/>
      </right>
      <top style="medium">
        <color theme="0" tint="-0.34998626667073579"/>
      </top>
      <bottom style="medium">
        <color theme="0" tint="-0.34998626667073579"/>
      </bottom>
      <diagonal/>
    </border>
    <border>
      <left style="thin">
        <color theme="0" tint="-0.249977111117893"/>
      </left>
      <right style="thin">
        <color theme="0" tint="-0.249977111117893"/>
      </right>
      <top style="medium">
        <color theme="0" tint="-0.34998626667073579"/>
      </top>
      <bottom style="medium">
        <color theme="0" tint="-0.34998626667073579"/>
      </bottom>
      <diagonal/>
    </border>
    <border>
      <left style="thin">
        <color theme="0" tint="-0.249977111117893"/>
      </left>
      <right style="medium">
        <color theme="0" tint="-0.34998626667073579"/>
      </right>
      <top style="medium">
        <color theme="0" tint="-0.34998626667073579"/>
      </top>
      <bottom style="medium">
        <color theme="0" tint="-0.34998626667073579"/>
      </bottom>
      <diagonal/>
    </border>
    <border>
      <left style="medium">
        <color theme="0" tint="-0.14999847407452621"/>
      </left>
      <right style="thin">
        <color theme="2" tint="-9.9978637043366805E-2"/>
      </right>
      <top style="medium">
        <color theme="0" tint="-0.34998626667073579"/>
      </top>
      <bottom style="medium">
        <color theme="0" tint="-0.34998626667073579"/>
      </bottom>
      <diagonal/>
    </border>
    <border>
      <left style="medium">
        <color theme="0" tint="-0.14999847407452621"/>
      </left>
      <right style="medium">
        <color theme="0" tint="-0.34998626667073579"/>
      </right>
      <top style="medium">
        <color theme="0" tint="-0.34998626667073579"/>
      </top>
      <bottom style="medium">
        <color theme="0" tint="-0.34998626667073579"/>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4" fillId="0" borderId="0" applyNumberFormat="0" applyFill="0" applyBorder="0" applyAlignment="0" applyProtection="0"/>
  </cellStyleXfs>
  <cellXfs count="979">
    <xf numFmtId="0" fontId="0" fillId="0" borderId="0" xfId="0"/>
    <xf numFmtId="0" fontId="0" fillId="0" borderId="0" xfId="0" applyAlignment="1">
      <alignment horizontal="center"/>
    </xf>
    <xf numFmtId="0" fontId="0" fillId="0" borderId="0" xfId="0" applyAlignment="1">
      <alignment vertical="center"/>
    </xf>
    <xf numFmtId="0" fontId="2" fillId="0" borderId="0" xfId="0" applyFont="1"/>
    <xf numFmtId="1" fontId="2" fillId="0" borderId="0" xfId="0" applyNumberFormat="1" applyFont="1" applyAlignment="1" applyProtection="1">
      <alignment horizontal="right"/>
      <protection locked="0"/>
    </xf>
    <xf numFmtId="1" fontId="3" fillId="0" borderId="0" xfId="1" applyNumberFormat="1" applyFont="1" applyBorder="1" applyAlignment="1" applyProtection="1">
      <alignment horizontal="right"/>
      <protection locked="0"/>
    </xf>
    <xf numFmtId="0" fontId="5"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7" fillId="0" borderId="0" xfId="0" applyFont="1"/>
    <xf numFmtId="0" fontId="9" fillId="0" borderId="0" xfId="0" applyFont="1" applyAlignment="1">
      <alignment horizontal="center" vertical="center"/>
    </xf>
    <xf numFmtId="0" fontId="9" fillId="0" borderId="0" xfId="0" applyFont="1"/>
    <xf numFmtId="43" fontId="7" fillId="0" borderId="0" xfId="0" applyNumberFormat="1" applyFont="1" applyAlignment="1">
      <alignment horizontal="center" vertical="center"/>
    </xf>
    <xf numFmtId="0" fontId="2" fillId="0" borderId="0" xfId="0" applyFont="1" applyAlignment="1">
      <alignment horizontal="center"/>
    </xf>
    <xf numFmtId="0" fontId="2" fillId="0" borderId="0" xfId="0" applyFont="1" applyAlignment="1">
      <alignment horizontal="right" vertical="center"/>
    </xf>
    <xf numFmtId="0" fontId="11" fillId="0" borderId="0" xfId="0" applyFont="1"/>
    <xf numFmtId="0" fontId="7" fillId="0" borderId="0" xfId="0" applyFont="1" applyAlignment="1">
      <alignment wrapText="1"/>
    </xf>
    <xf numFmtId="0" fontId="7" fillId="0" borderId="0" xfId="0" applyFont="1" applyAlignment="1">
      <alignment horizontal="center" vertical="center" wrapText="1"/>
    </xf>
    <xf numFmtId="0" fontId="0" fillId="0" borderId="0" xfId="0" applyAlignment="1">
      <alignment horizontal="center" wrapText="1"/>
    </xf>
    <xf numFmtId="0" fontId="2" fillId="0" borderId="0" xfId="0" applyFont="1" applyAlignment="1">
      <alignment horizontal="left" vertical="center"/>
    </xf>
    <xf numFmtId="0" fontId="2" fillId="0" borderId="0" xfId="0" applyFont="1" applyAlignment="1">
      <alignment horizontal="left" vertical="center" wrapText="1"/>
    </xf>
    <xf numFmtId="2" fontId="7" fillId="0" borderId="0" xfId="0" applyNumberFormat="1" applyFont="1" applyAlignment="1">
      <alignment horizontal="center" vertical="center" wrapText="1"/>
    </xf>
    <xf numFmtId="1" fontId="2" fillId="0" borderId="0" xfId="1" applyNumberFormat="1" applyFont="1" applyBorder="1" applyAlignment="1" applyProtection="1">
      <alignment horizontal="right" vertical="center"/>
      <protection locked="0"/>
    </xf>
    <xf numFmtId="0" fontId="7" fillId="0" borderId="8" xfId="0" applyFont="1" applyBorder="1" applyAlignment="1">
      <alignment horizontal="center" vertical="center"/>
    </xf>
    <xf numFmtId="0" fontId="7" fillId="0" borderId="0" xfId="0" applyFont="1" applyAlignment="1">
      <alignment vertical="center"/>
    </xf>
    <xf numFmtId="0" fontId="7" fillId="0" borderId="8" xfId="0" applyFont="1" applyBorder="1" applyAlignment="1">
      <alignment vertical="center"/>
    </xf>
    <xf numFmtId="0" fontId="9" fillId="0" borderId="0" xfId="0" applyFont="1" applyAlignment="1">
      <alignment vertical="center"/>
    </xf>
    <xf numFmtId="0" fontId="9" fillId="0" borderId="0" xfId="0" applyFont="1" applyAlignment="1">
      <alignment vertical="center" wrapText="1"/>
    </xf>
    <xf numFmtId="43" fontId="7" fillId="0" borderId="0" xfId="0" applyNumberFormat="1" applyFont="1" applyAlignment="1">
      <alignment vertical="center"/>
    </xf>
    <xf numFmtId="9" fontId="9" fillId="0" borderId="0" xfId="2" applyFont="1" applyAlignment="1">
      <alignment vertical="center"/>
    </xf>
    <xf numFmtId="165" fontId="9" fillId="0" borderId="0" xfId="1" applyNumberFormat="1" applyFont="1" applyAlignment="1">
      <alignment vertical="center"/>
    </xf>
    <xf numFmtId="2" fontId="9" fillId="0" borderId="0" xfId="2" applyNumberFormat="1" applyFont="1" applyAlignment="1">
      <alignment vertical="center"/>
    </xf>
    <xf numFmtId="165" fontId="9" fillId="0" borderId="0" xfId="0" applyNumberFormat="1" applyFont="1" applyAlignment="1">
      <alignment vertical="center"/>
    </xf>
    <xf numFmtId="2" fontId="9" fillId="0" borderId="0" xfId="0" applyNumberFormat="1" applyFont="1" applyAlignment="1">
      <alignment vertical="center"/>
    </xf>
    <xf numFmtId="9" fontId="7" fillId="0" borderId="0" xfId="2" applyFont="1" applyAlignment="1">
      <alignment vertical="center"/>
    </xf>
    <xf numFmtId="1" fontId="7" fillId="0" borderId="0" xfId="2" applyNumberFormat="1" applyFont="1" applyAlignment="1">
      <alignment vertical="center"/>
    </xf>
    <xf numFmtId="9" fontId="7" fillId="0" borderId="0" xfId="2" applyFont="1" applyAlignment="1">
      <alignment horizontal="center" vertical="center"/>
    </xf>
    <xf numFmtId="0" fontId="2" fillId="0" borderId="0" xfId="0" applyFont="1" applyAlignment="1">
      <alignment horizontal="center" vertical="center"/>
    </xf>
    <xf numFmtId="9" fontId="7" fillId="0" borderId="0" xfId="2" applyFont="1" applyBorder="1" applyAlignment="1">
      <alignment horizontal="center" vertical="center"/>
    </xf>
    <xf numFmtId="0" fontId="2" fillId="0" borderId="0" xfId="0" applyFont="1" applyAlignment="1">
      <alignment vertical="center"/>
    </xf>
    <xf numFmtId="166" fontId="7" fillId="0" borderId="0" xfId="0" applyNumberFormat="1" applyFont="1" applyAlignment="1">
      <alignment vertical="center"/>
    </xf>
    <xf numFmtId="170" fontId="7" fillId="0" borderId="0" xfId="0" applyNumberFormat="1" applyFont="1" applyAlignment="1">
      <alignment vertical="center"/>
    </xf>
    <xf numFmtId="0" fontId="7" fillId="0" borderId="0" xfId="0" applyFont="1" applyAlignment="1">
      <alignment vertical="center" wrapText="1"/>
    </xf>
    <xf numFmtId="171" fontId="7" fillId="0" borderId="0" xfId="0" applyNumberFormat="1" applyFont="1" applyAlignment="1">
      <alignment vertical="center"/>
    </xf>
    <xf numFmtId="168" fontId="7" fillId="0" borderId="8" xfId="1" applyNumberFormat="1" applyFont="1" applyFill="1" applyBorder="1" applyAlignment="1">
      <alignment horizontal="center" vertical="center"/>
    </xf>
    <xf numFmtId="164" fontId="7" fillId="0" borderId="8" xfId="2" applyNumberFormat="1" applyFont="1" applyFill="1" applyBorder="1" applyAlignment="1">
      <alignment vertical="center"/>
    </xf>
    <xf numFmtId="165" fontId="7" fillId="0" borderId="8" xfId="1" applyNumberFormat="1" applyFont="1" applyFill="1" applyBorder="1" applyAlignment="1">
      <alignment horizontal="center" vertical="center"/>
    </xf>
    <xf numFmtId="165" fontId="7" fillId="0" borderId="13" xfId="1" applyNumberFormat="1" applyFont="1" applyFill="1" applyBorder="1" applyAlignment="1">
      <alignment horizontal="center" vertical="center"/>
    </xf>
    <xf numFmtId="165" fontId="7" fillId="0" borderId="8" xfId="1" applyNumberFormat="1" applyFont="1" applyFill="1" applyBorder="1" applyAlignment="1">
      <alignment vertical="center"/>
    </xf>
    <xf numFmtId="165" fontId="7" fillId="0" borderId="13" xfId="1" applyNumberFormat="1" applyFont="1" applyFill="1" applyBorder="1" applyAlignment="1">
      <alignment vertical="center"/>
    </xf>
    <xf numFmtId="0" fontId="7" fillId="0" borderId="0" xfId="0" applyFont="1" applyAlignment="1">
      <alignment horizontal="left" vertical="center"/>
    </xf>
    <xf numFmtId="165" fontId="7" fillId="0" borderId="0" xfId="1" applyNumberFormat="1" applyFont="1" applyFill="1" applyBorder="1" applyAlignment="1">
      <alignment horizontal="center" vertical="center"/>
    </xf>
    <xf numFmtId="165" fontId="7" fillId="0" borderId="0" xfId="1" applyNumberFormat="1" applyFont="1" applyFill="1" applyBorder="1" applyAlignment="1">
      <alignment vertical="center"/>
    </xf>
    <xf numFmtId="165" fontId="9" fillId="0" borderId="0" xfId="1" applyNumberFormat="1" applyFont="1" applyFill="1" applyBorder="1" applyAlignment="1">
      <alignment vertical="center"/>
    </xf>
    <xf numFmtId="1" fontId="7" fillId="0" borderId="0" xfId="0" applyNumberFormat="1" applyFont="1" applyAlignment="1">
      <alignment vertical="center"/>
    </xf>
    <xf numFmtId="9" fontId="7" fillId="0" borderId="0" xfId="2" applyFont="1" applyFill="1" applyBorder="1" applyAlignment="1">
      <alignment vertical="center"/>
    </xf>
    <xf numFmtId="9" fontId="7" fillId="0" borderId="0" xfId="2" applyFont="1" applyFill="1" applyBorder="1" applyAlignment="1">
      <alignment horizontal="center" vertical="center"/>
    </xf>
    <xf numFmtId="165" fontId="7" fillId="0" borderId="0" xfId="1" applyNumberFormat="1" applyFont="1" applyFill="1" applyBorder="1" applyAlignment="1">
      <alignment horizontal="right" vertical="center"/>
    </xf>
    <xf numFmtId="43" fontId="7" fillId="0" borderId="0" xfId="1" applyFont="1" applyFill="1" applyBorder="1" applyAlignment="1">
      <alignment horizontal="right" vertical="center"/>
    </xf>
    <xf numFmtId="2" fontId="2" fillId="0" borderId="0" xfId="0" applyNumberFormat="1" applyFont="1" applyAlignment="1">
      <alignment horizontal="left" vertical="center"/>
    </xf>
    <xf numFmtId="165" fontId="2" fillId="0" borderId="0" xfId="1" applyNumberFormat="1" applyFont="1" applyFill="1" applyBorder="1" applyAlignment="1">
      <alignment horizontal="right" vertical="center"/>
    </xf>
    <xf numFmtId="9" fontId="2" fillId="0" borderId="0" xfId="1" applyNumberFormat="1" applyFont="1" applyFill="1" applyBorder="1" applyAlignment="1">
      <alignment horizontal="right" vertical="center"/>
    </xf>
    <xf numFmtId="43" fontId="2" fillId="0" borderId="0" xfId="1" applyFont="1" applyFill="1" applyBorder="1" applyAlignment="1">
      <alignment horizontal="center" vertical="center"/>
    </xf>
    <xf numFmtId="0" fontId="2" fillId="0" borderId="0" xfId="1" applyNumberFormat="1" applyFont="1" applyFill="1" applyBorder="1" applyAlignment="1">
      <alignment horizontal="right" vertical="center"/>
    </xf>
    <xf numFmtId="9" fontId="2" fillId="0" borderId="0" xfId="2" applyFont="1" applyFill="1" applyBorder="1" applyAlignment="1">
      <alignment horizontal="right" vertical="center"/>
    </xf>
    <xf numFmtId="166" fontId="7" fillId="0" borderId="0" xfId="1" applyNumberFormat="1" applyFont="1" applyFill="1" applyBorder="1" applyAlignment="1">
      <alignment vertical="center"/>
    </xf>
    <xf numFmtId="0" fontId="17" fillId="0" borderId="0" xfId="0" applyFont="1" applyAlignment="1">
      <alignment horizontal="left" vertical="center"/>
    </xf>
    <xf numFmtId="165" fontId="7" fillId="0" borderId="8" xfId="1" applyNumberFormat="1" applyFont="1" applyFill="1" applyBorder="1" applyAlignment="1">
      <alignment vertical="center" wrapText="1"/>
    </xf>
    <xf numFmtId="165" fontId="7" fillId="0" borderId="8" xfId="1" applyNumberFormat="1" applyFont="1" applyFill="1" applyBorder="1" applyAlignment="1">
      <alignment horizontal="center" vertical="center" wrapText="1"/>
    </xf>
    <xf numFmtId="43" fontId="7" fillId="0" borderId="8" xfId="0" applyNumberFormat="1" applyFont="1" applyBorder="1" applyAlignment="1">
      <alignment vertical="center"/>
    </xf>
    <xf numFmtId="165" fontId="7" fillId="0" borderId="0" xfId="1" applyNumberFormat="1" applyFont="1" applyFill="1" applyBorder="1" applyAlignment="1">
      <alignment horizontal="center"/>
    </xf>
    <xf numFmtId="0" fontId="10" fillId="0" borderId="0" xfId="0" applyFont="1" applyAlignment="1">
      <alignment vertical="center"/>
    </xf>
    <xf numFmtId="169" fontId="7" fillId="0" borderId="8" xfId="2" applyNumberFormat="1" applyFont="1" applyBorder="1" applyAlignment="1">
      <alignment horizontal="center" vertical="center"/>
    </xf>
    <xf numFmtId="173" fontId="7" fillId="0" borderId="8" xfId="1" applyNumberFormat="1" applyFont="1" applyFill="1" applyBorder="1" applyAlignment="1">
      <alignment horizontal="center" vertical="center"/>
    </xf>
    <xf numFmtId="2" fontId="7" fillId="0" borderId="8" xfId="1" applyNumberFormat="1" applyFont="1" applyFill="1" applyBorder="1" applyAlignment="1">
      <alignment horizontal="center" vertical="center"/>
    </xf>
    <xf numFmtId="174" fontId="7" fillId="0" borderId="8" xfId="1" applyNumberFormat="1" applyFont="1" applyFill="1" applyBorder="1" applyAlignment="1">
      <alignment horizontal="center" vertical="center"/>
    </xf>
    <xf numFmtId="44" fontId="7" fillId="0" borderId="8" xfId="1" applyNumberFormat="1" applyFont="1" applyBorder="1" applyAlignment="1">
      <alignment horizontal="center" vertical="center"/>
    </xf>
    <xf numFmtId="0" fontId="19" fillId="0" borderId="0" xfId="0" applyFont="1"/>
    <xf numFmtId="0" fontId="10" fillId="0" borderId="0" xfId="0" applyFont="1"/>
    <xf numFmtId="0" fontId="7" fillId="0" borderId="1" xfId="0" applyFont="1" applyBorder="1"/>
    <xf numFmtId="0" fontId="7" fillId="0" borderId="1" xfId="0" applyFont="1" applyBorder="1" applyAlignment="1">
      <alignment horizontal="center"/>
    </xf>
    <xf numFmtId="165" fontId="7" fillId="0" borderId="0" xfId="1" applyNumberFormat="1" applyFont="1" applyBorder="1" applyAlignment="1">
      <alignment horizontal="center"/>
    </xf>
    <xf numFmtId="165" fontId="7" fillId="0" borderId="0" xfId="1" applyNumberFormat="1" applyFont="1" applyBorder="1" applyAlignment="1">
      <alignment horizontal="center" vertical="center"/>
    </xf>
    <xf numFmtId="9" fontId="7" fillId="0" borderId="1" xfId="2" applyFont="1" applyBorder="1" applyAlignment="1">
      <alignment horizontal="center" vertical="center"/>
    </xf>
    <xf numFmtId="0" fontId="7" fillId="0" borderId="1" xfId="0" applyFont="1" applyBorder="1" applyAlignment="1">
      <alignment horizontal="center" wrapText="1"/>
    </xf>
    <xf numFmtId="0" fontId="8" fillId="0" borderId="0" xfId="0" applyFont="1"/>
    <xf numFmtId="9" fontId="7" fillId="0" borderId="1" xfId="2" applyFont="1" applyFill="1" applyBorder="1" applyAlignment="1">
      <alignment horizontal="center" vertical="center"/>
    </xf>
    <xf numFmtId="0" fontId="11" fillId="0" borderId="6" xfId="0" applyFont="1" applyBorder="1" applyAlignment="1">
      <alignment vertical="center"/>
    </xf>
    <xf numFmtId="0" fontId="7" fillId="0" borderId="5" xfId="0" applyFont="1" applyBorder="1"/>
    <xf numFmtId="0" fontId="20" fillId="0" borderId="0" xfId="0" applyFont="1"/>
    <xf numFmtId="0" fontId="2" fillId="0" borderId="1" xfId="0" applyFont="1" applyBorder="1" applyAlignment="1">
      <alignment horizontal="center" vertical="center"/>
    </xf>
    <xf numFmtId="165" fontId="7" fillId="0" borderId="1" xfId="1" applyNumberFormat="1" applyFont="1" applyBorder="1"/>
    <xf numFmtId="2" fontId="7" fillId="0" borderId="1" xfId="1" applyNumberFormat="1" applyFont="1" applyBorder="1"/>
    <xf numFmtId="0" fontId="7" fillId="0" borderId="1" xfId="0" applyFont="1" applyBorder="1" applyAlignment="1">
      <alignment vertical="center"/>
    </xf>
    <xf numFmtId="0" fontId="7" fillId="0" borderId="1" xfId="0" applyFont="1" applyBorder="1" applyAlignment="1">
      <alignment horizontal="center" vertical="center"/>
    </xf>
    <xf numFmtId="1" fontId="7" fillId="0" borderId="0" xfId="0" applyNumberFormat="1" applyFont="1"/>
    <xf numFmtId="1" fontId="7" fillId="0" borderId="0" xfId="0" applyNumberFormat="1" applyFont="1" applyAlignment="1">
      <alignment horizontal="right"/>
    </xf>
    <xf numFmtId="1" fontId="7" fillId="0" borderId="0" xfId="0" applyNumberFormat="1" applyFont="1" applyAlignment="1">
      <alignment horizontal="right" vertical="center"/>
    </xf>
    <xf numFmtId="165" fontId="7" fillId="0" borderId="1" xfId="1" applyNumberFormat="1" applyFont="1" applyBorder="1" applyAlignment="1">
      <alignment vertical="center"/>
    </xf>
    <xf numFmtId="1" fontId="7" fillId="0" borderId="0" xfId="1" applyNumberFormat="1" applyFont="1" applyBorder="1" applyAlignment="1">
      <alignment horizontal="right"/>
    </xf>
    <xf numFmtId="1" fontId="7" fillId="0" borderId="0" xfId="1" applyNumberFormat="1" applyFont="1" applyFill="1" applyBorder="1" applyAlignment="1">
      <alignment horizontal="right"/>
    </xf>
    <xf numFmtId="165" fontId="7" fillId="0" borderId="0" xfId="1" applyNumberFormat="1" applyFont="1" applyBorder="1"/>
    <xf numFmtId="0" fontId="7" fillId="7" borderId="8" xfId="0" applyFont="1" applyFill="1" applyBorder="1" applyAlignment="1">
      <alignment horizontal="center" vertical="center"/>
    </xf>
    <xf numFmtId="164" fontId="7" fillId="7" borderId="8" xfId="2" applyNumberFormat="1" applyFont="1" applyFill="1" applyBorder="1" applyAlignment="1">
      <alignment vertical="center"/>
    </xf>
    <xf numFmtId="164" fontId="7" fillId="7" borderId="13" xfId="2" applyNumberFormat="1" applyFont="1" applyFill="1" applyBorder="1" applyAlignment="1">
      <alignment vertical="center"/>
    </xf>
    <xf numFmtId="43" fontId="7" fillId="0" borderId="8" xfId="1" applyFont="1" applyFill="1" applyBorder="1" applyAlignment="1">
      <alignment vertical="center"/>
    </xf>
    <xf numFmtId="0" fontId="2" fillId="8" borderId="8" xfId="0" applyFont="1" applyFill="1" applyBorder="1" applyAlignment="1">
      <alignment horizontal="center" vertical="center"/>
    </xf>
    <xf numFmtId="43" fontId="7" fillId="0" borderId="0" xfId="1" applyFont="1" applyFill="1" applyBorder="1" applyAlignment="1">
      <alignment vertical="center"/>
    </xf>
    <xf numFmtId="0" fontId="10" fillId="3" borderId="0" xfId="0" applyFont="1" applyFill="1" applyAlignment="1">
      <alignment vertical="center"/>
    </xf>
    <xf numFmtId="165" fontId="10" fillId="3" borderId="0" xfId="1" applyNumberFormat="1" applyFont="1" applyFill="1" applyBorder="1" applyAlignment="1">
      <alignment horizontal="center" vertical="center"/>
    </xf>
    <xf numFmtId="165" fontId="10" fillId="3" borderId="0" xfId="1" applyNumberFormat="1" applyFont="1" applyFill="1" applyBorder="1" applyAlignment="1">
      <alignment vertical="center"/>
    </xf>
    <xf numFmtId="165" fontId="18" fillId="3" borderId="0" xfId="1" applyNumberFormat="1" applyFont="1" applyFill="1" applyBorder="1" applyAlignment="1">
      <alignment vertical="center"/>
    </xf>
    <xf numFmtId="1" fontId="10" fillId="3" borderId="0" xfId="0" applyNumberFormat="1" applyFont="1" applyFill="1" applyAlignment="1">
      <alignment vertical="center"/>
    </xf>
    <xf numFmtId="0" fontId="18" fillId="3" borderId="0" xfId="0" applyFont="1" applyFill="1" applyAlignment="1">
      <alignment vertical="center"/>
    </xf>
    <xf numFmtId="165" fontId="7" fillId="0" borderId="13" xfId="1" applyNumberFormat="1" applyFont="1" applyFill="1" applyBorder="1" applyAlignment="1">
      <alignment vertical="center" wrapText="1"/>
    </xf>
    <xf numFmtId="0" fontId="22" fillId="3" borderId="0" xfId="0" applyFont="1" applyFill="1" applyAlignment="1">
      <alignment vertical="center"/>
    </xf>
    <xf numFmtId="0" fontId="7" fillId="0" borderId="14" xfId="0" applyFont="1" applyBorder="1" applyAlignment="1">
      <alignment horizontal="center" vertical="center"/>
    </xf>
    <xf numFmtId="43" fontId="7" fillId="0" borderId="14" xfId="1" applyFont="1" applyFill="1" applyBorder="1" applyAlignment="1">
      <alignment vertical="center"/>
    </xf>
    <xf numFmtId="43" fontId="7" fillId="0" borderId="15" xfId="1" applyFont="1" applyFill="1" applyBorder="1" applyAlignment="1">
      <alignment vertical="center"/>
    </xf>
    <xf numFmtId="168" fontId="7" fillId="0" borderId="16" xfId="1" applyNumberFormat="1" applyFont="1" applyFill="1" applyBorder="1" applyAlignment="1">
      <alignment horizontal="center" vertical="center"/>
    </xf>
    <xf numFmtId="164" fontId="7" fillId="0" borderId="16" xfId="2" applyNumberFormat="1" applyFont="1" applyFill="1" applyBorder="1" applyAlignment="1">
      <alignment vertical="center"/>
    </xf>
    <xf numFmtId="164" fontId="7" fillId="7" borderId="16" xfId="2" applyNumberFormat="1" applyFont="1" applyFill="1" applyBorder="1" applyAlignment="1">
      <alignment vertical="center"/>
    </xf>
    <xf numFmtId="165" fontId="7" fillId="0" borderId="16" xfId="1" applyNumberFormat="1" applyFont="1" applyFill="1" applyBorder="1" applyAlignment="1">
      <alignment horizontal="center" vertical="center"/>
    </xf>
    <xf numFmtId="2" fontId="7" fillId="0" borderId="0" xfId="0" applyNumberFormat="1" applyFont="1" applyAlignment="1">
      <alignment vertical="center"/>
    </xf>
    <xf numFmtId="173" fontId="7" fillId="0" borderId="0" xfId="0" applyNumberFormat="1" applyFont="1" applyAlignment="1">
      <alignment vertical="center"/>
    </xf>
    <xf numFmtId="165" fontId="7" fillId="0" borderId="1" xfId="1" applyNumberFormat="1" applyFont="1" applyBorder="1" applyAlignment="1">
      <alignment horizontal="right" vertical="center"/>
    </xf>
    <xf numFmtId="0" fontId="2" fillId="2" borderId="1" xfId="0" applyFont="1" applyFill="1" applyBorder="1" applyAlignment="1">
      <alignment horizontal="center" vertical="center"/>
    </xf>
    <xf numFmtId="165" fontId="2" fillId="0" borderId="1" xfId="1" applyNumberFormat="1" applyFont="1" applyFill="1" applyBorder="1" applyAlignment="1">
      <alignment horizontal="right" vertical="center"/>
    </xf>
    <xf numFmtId="165" fontId="2" fillId="0" borderId="1" xfId="1" applyNumberFormat="1" applyFont="1" applyBorder="1" applyAlignment="1">
      <alignment horizontal="right" vertical="center"/>
    </xf>
    <xf numFmtId="165" fontId="7" fillId="0" borderId="17" xfId="1" applyNumberFormat="1" applyFont="1" applyBorder="1" applyAlignment="1">
      <alignment horizontal="right" vertical="center"/>
    </xf>
    <xf numFmtId="165" fontId="2" fillId="0" borderId="17" xfId="1" applyNumberFormat="1" applyFont="1" applyBorder="1" applyAlignment="1">
      <alignment horizontal="right" vertical="center"/>
    </xf>
    <xf numFmtId="9" fontId="2" fillId="0" borderId="1" xfId="1" applyNumberFormat="1" applyFont="1" applyBorder="1" applyAlignment="1">
      <alignment horizontal="right" vertical="center"/>
    </xf>
    <xf numFmtId="43" fontId="2" fillId="2" borderId="1" xfId="1" applyFont="1" applyFill="1" applyBorder="1" applyAlignment="1">
      <alignment horizontal="center" vertical="center"/>
    </xf>
    <xf numFmtId="9" fontId="2" fillId="0" borderId="1" xfId="2" applyFont="1" applyBorder="1" applyAlignment="1">
      <alignment horizontal="right" vertical="center"/>
    </xf>
    <xf numFmtId="9" fontId="2" fillId="0" borderId="17" xfId="1" applyNumberFormat="1" applyFont="1" applyBorder="1" applyAlignment="1">
      <alignment horizontal="right" vertical="center"/>
    </xf>
    <xf numFmtId="9" fontId="2" fillId="0" borderId="17" xfId="2" applyFont="1" applyBorder="1" applyAlignment="1">
      <alignment horizontal="right" vertical="center"/>
    </xf>
    <xf numFmtId="0" fontId="7" fillId="0" borderId="3" xfId="0" applyFont="1" applyBorder="1" applyAlignment="1">
      <alignment horizontal="center" vertical="center"/>
    </xf>
    <xf numFmtId="2" fontId="7" fillId="0" borderId="0" xfId="0" applyNumberFormat="1" applyFont="1" applyAlignment="1">
      <alignment horizontal="right" vertical="center"/>
    </xf>
    <xf numFmtId="171" fontId="7" fillId="0" borderId="0" xfId="0" applyNumberFormat="1" applyFont="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10" fillId="9" borderId="37" xfId="0" applyFont="1" applyFill="1" applyBorder="1" applyAlignment="1">
      <alignment horizontal="center" vertical="center"/>
    </xf>
    <xf numFmtId="0" fontId="7" fillId="0" borderId="25" xfId="0" applyFont="1" applyBorder="1" applyAlignment="1">
      <alignment horizontal="center" vertical="center"/>
    </xf>
    <xf numFmtId="0" fontId="10" fillId="0" borderId="18" xfId="0" applyFont="1" applyBorder="1" applyAlignment="1">
      <alignment horizontal="center" vertical="center"/>
    </xf>
    <xf numFmtId="0" fontId="7" fillId="0" borderId="18" xfId="0" applyFont="1" applyBorder="1" applyAlignment="1">
      <alignment vertical="center"/>
    </xf>
    <xf numFmtId="43" fontId="7" fillId="0" borderId="18" xfId="1" applyFont="1" applyBorder="1" applyAlignment="1">
      <alignment horizontal="center" vertical="center"/>
    </xf>
    <xf numFmtId="0" fontId="2" fillId="0" borderId="18" xfId="0" applyFont="1" applyBorder="1" applyAlignment="1">
      <alignment horizontal="center" vertical="center"/>
    </xf>
    <xf numFmtId="168" fontId="7" fillId="0" borderId="18" xfId="1" applyNumberFormat="1" applyFont="1" applyBorder="1" applyAlignment="1">
      <alignment horizontal="center" vertical="center"/>
    </xf>
    <xf numFmtId="168" fontId="2" fillId="0" borderId="18" xfId="1" applyNumberFormat="1" applyFont="1" applyFill="1" applyBorder="1" applyAlignment="1">
      <alignment horizontal="center" vertical="center"/>
    </xf>
    <xf numFmtId="0" fontId="2" fillId="2" borderId="18" xfId="0" applyFont="1" applyFill="1" applyBorder="1" applyAlignment="1">
      <alignment horizontal="center" vertical="center"/>
    </xf>
    <xf numFmtId="168" fontId="2" fillId="2" borderId="18" xfId="1" applyNumberFormat="1" applyFont="1" applyFill="1" applyBorder="1" applyAlignment="1">
      <alignment horizontal="center" vertical="center"/>
    </xf>
    <xf numFmtId="0" fontId="7" fillId="7" borderId="18" xfId="0" applyFont="1" applyFill="1" applyBorder="1" applyAlignment="1">
      <alignment horizontal="center" vertical="center"/>
    </xf>
    <xf numFmtId="164" fontId="7" fillId="7" borderId="18" xfId="2" applyNumberFormat="1" applyFont="1" applyFill="1" applyBorder="1" applyAlignment="1">
      <alignment vertical="center"/>
    </xf>
    <xf numFmtId="43" fontId="2" fillId="0" borderId="18" xfId="1" applyFont="1" applyBorder="1" applyAlignment="1">
      <alignment horizontal="center" vertical="center"/>
    </xf>
    <xf numFmtId="172" fontId="7" fillId="0" borderId="18" xfId="0" applyNumberFormat="1" applyFont="1" applyBorder="1" applyAlignment="1">
      <alignment horizontal="center" vertical="center"/>
    </xf>
    <xf numFmtId="0" fontId="2" fillId="0" borderId="18" xfId="0" applyFont="1" applyBorder="1" applyAlignment="1">
      <alignment horizontal="center" vertical="center" wrapText="1"/>
    </xf>
    <xf numFmtId="0" fontId="7" fillId="0" borderId="27" xfId="0" applyFont="1" applyBorder="1" applyAlignment="1">
      <alignment horizontal="center"/>
    </xf>
    <xf numFmtId="1" fontId="9" fillId="0" borderId="0" xfId="2" applyNumberFormat="1" applyFont="1" applyAlignment="1">
      <alignment vertical="center"/>
    </xf>
    <xf numFmtId="9" fontId="2" fillId="0" borderId="0" xfId="2" applyFont="1" applyBorder="1" applyAlignment="1">
      <alignment horizontal="left" vertical="center"/>
    </xf>
    <xf numFmtId="9" fontId="9" fillId="0" borderId="0" xfId="2" applyFont="1" applyBorder="1" applyAlignment="1">
      <alignment horizontal="left" vertical="center" wrapText="1"/>
    </xf>
    <xf numFmtId="0" fontId="4" fillId="0" borderId="0" xfId="0" applyFont="1" applyAlignment="1">
      <alignment vertical="center"/>
    </xf>
    <xf numFmtId="168" fontId="2" fillId="0" borderId="18" xfId="1" applyNumberFormat="1" applyFont="1" applyBorder="1" applyAlignment="1">
      <alignment horizontal="center" vertical="center"/>
    </xf>
    <xf numFmtId="166" fontId="2" fillId="0" borderId="0" xfId="1" applyNumberFormat="1" applyFont="1" applyFill="1" applyBorder="1" applyAlignment="1">
      <alignment horizontal="center" vertical="center"/>
    </xf>
    <xf numFmtId="172" fontId="2" fillId="0" borderId="18" xfId="0" applyNumberFormat="1" applyFont="1" applyBorder="1" applyAlignment="1">
      <alignment horizontal="center" vertical="center"/>
    </xf>
    <xf numFmtId="171" fontId="2" fillId="0" borderId="0" xfId="0" applyNumberFormat="1" applyFont="1" applyAlignment="1">
      <alignment horizontal="center" vertical="center"/>
    </xf>
    <xf numFmtId="173" fontId="7" fillId="0" borderId="0" xfId="0" applyNumberFormat="1" applyFont="1" applyAlignment="1">
      <alignment horizontal="right" vertical="center"/>
    </xf>
    <xf numFmtId="0" fontId="19" fillId="0" borderId="0" xfId="0" applyFont="1" applyAlignment="1">
      <alignment vertical="center"/>
    </xf>
    <xf numFmtId="0" fontId="7" fillId="0" borderId="29" xfId="0" applyFont="1" applyBorder="1" applyAlignment="1">
      <alignment vertical="center" wrapText="1"/>
    </xf>
    <xf numFmtId="0" fontId="2" fillId="0" borderId="30" xfId="0" applyFont="1" applyBorder="1" applyAlignment="1">
      <alignment horizontal="center" vertical="center" wrapText="1"/>
    </xf>
    <xf numFmtId="165" fontId="7" fillId="0" borderId="18" xfId="1" applyNumberFormat="1" applyFont="1" applyBorder="1" applyAlignment="1">
      <alignment horizontal="right" vertical="center"/>
    </xf>
    <xf numFmtId="165" fontId="7" fillId="0" borderId="18" xfId="1" applyNumberFormat="1" applyFont="1" applyFill="1" applyBorder="1" applyAlignment="1">
      <alignment horizontal="right" vertical="center"/>
    </xf>
    <xf numFmtId="165" fontId="7" fillId="0" borderId="27" xfId="1" applyNumberFormat="1" applyFont="1" applyBorder="1" applyAlignment="1">
      <alignment vertical="center"/>
    </xf>
    <xf numFmtId="9" fontId="7" fillId="0" borderId="27" xfId="2" applyFont="1" applyBorder="1" applyAlignment="1">
      <alignment horizontal="center" vertical="center"/>
    </xf>
    <xf numFmtId="0" fontId="11" fillId="0" borderId="44" xfId="0" applyFont="1" applyBorder="1" applyAlignment="1">
      <alignment vertical="center"/>
    </xf>
    <xf numFmtId="0" fontId="7" fillId="0" borderId="45" xfId="0" applyFont="1" applyBorder="1"/>
    <xf numFmtId="0" fontId="11" fillId="0" borderId="37" xfId="0" applyFont="1" applyBorder="1" applyAlignment="1">
      <alignment horizontal="center" vertical="center"/>
    </xf>
    <xf numFmtId="0" fontId="2" fillId="0" borderId="25" xfId="0" applyFont="1" applyBorder="1" applyAlignment="1">
      <alignment horizontal="center" vertical="center"/>
    </xf>
    <xf numFmtId="9" fontId="11" fillId="0" borderId="25" xfId="0" applyNumberFormat="1" applyFont="1" applyBorder="1" applyAlignment="1">
      <alignment horizontal="center" vertical="center"/>
    </xf>
    <xf numFmtId="0" fontId="11" fillId="0" borderId="46" xfId="0" applyFont="1" applyBorder="1" applyAlignment="1">
      <alignment vertical="center"/>
    </xf>
    <xf numFmtId="0" fontId="7" fillId="0" borderId="47" xfId="0" applyFont="1" applyBorder="1"/>
    <xf numFmtId="9" fontId="11" fillId="0" borderId="28" xfId="0" applyNumberFormat="1" applyFont="1" applyBorder="1" applyAlignment="1">
      <alignment horizontal="center" vertical="center"/>
    </xf>
    <xf numFmtId="165" fontId="7" fillId="0" borderId="25" xfId="1" applyNumberFormat="1" applyFont="1" applyBorder="1"/>
    <xf numFmtId="165" fontId="2" fillId="0" borderId="30" xfId="1" applyNumberFormat="1" applyFont="1" applyBorder="1" applyAlignment="1" applyProtection="1">
      <alignment horizontal="right" vertical="center"/>
      <protection locked="0"/>
    </xf>
    <xf numFmtId="165" fontId="7" fillId="0" borderId="30" xfId="1" applyNumberFormat="1" applyFont="1" applyBorder="1" applyAlignment="1">
      <alignment horizontal="right" vertical="center"/>
    </xf>
    <xf numFmtId="0" fontId="10" fillId="9" borderId="32" xfId="0" applyFont="1" applyFill="1" applyBorder="1"/>
    <xf numFmtId="165" fontId="10" fillId="9" borderId="33" xfId="0" applyNumberFormat="1" applyFont="1" applyFill="1" applyBorder="1"/>
    <xf numFmtId="0" fontId="19" fillId="9" borderId="27" xfId="0" applyFont="1" applyFill="1" applyBorder="1" applyAlignment="1">
      <alignment horizontal="right"/>
    </xf>
    <xf numFmtId="165" fontId="19" fillId="9" borderId="27" xfId="1" applyNumberFormat="1" applyFont="1" applyFill="1" applyBorder="1"/>
    <xf numFmtId="165" fontId="19" fillId="9" borderId="28" xfId="1" applyNumberFormat="1" applyFont="1" applyFill="1" applyBorder="1"/>
    <xf numFmtId="0" fontId="2" fillId="0" borderId="18"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horizontal="center" vertical="center" wrapText="1"/>
    </xf>
    <xf numFmtId="0" fontId="10" fillId="7" borderId="18" xfId="0" applyFont="1" applyFill="1" applyBorder="1" applyAlignment="1">
      <alignment horizontal="center" vertical="center" wrapText="1"/>
    </xf>
    <xf numFmtId="0" fontId="29" fillId="0" borderId="0" xfId="0" applyFont="1" applyAlignment="1">
      <alignment wrapText="1"/>
    </xf>
    <xf numFmtId="0" fontId="4" fillId="0" borderId="0" xfId="0" applyFont="1" applyAlignment="1">
      <alignment wrapText="1"/>
    </xf>
    <xf numFmtId="0" fontId="4" fillId="10" borderId="18" xfId="0" applyFont="1" applyFill="1" applyBorder="1" applyAlignment="1">
      <alignment vertical="center" wrapText="1"/>
    </xf>
    <xf numFmtId="0" fontId="4" fillId="10" borderId="18" xfId="0" applyFont="1" applyFill="1" applyBorder="1" applyAlignment="1">
      <alignment horizontal="center" vertical="center" wrapText="1"/>
    </xf>
    <xf numFmtId="0" fontId="4" fillId="8" borderId="18" xfId="0" applyFont="1" applyFill="1" applyBorder="1" applyAlignment="1">
      <alignment vertical="center" wrapText="1"/>
    </xf>
    <xf numFmtId="0" fontId="32" fillId="8" borderId="18" xfId="0" applyFont="1" applyFill="1" applyBorder="1" applyAlignment="1">
      <alignment vertical="center" wrapText="1"/>
    </xf>
    <xf numFmtId="0" fontId="32" fillId="10" borderId="18" xfId="0" applyFont="1" applyFill="1" applyBorder="1" applyAlignment="1">
      <alignment vertical="center" wrapText="1"/>
    </xf>
    <xf numFmtId="0" fontId="4" fillId="8" borderId="18" xfId="0" applyFont="1" applyFill="1" applyBorder="1" applyAlignment="1">
      <alignment horizontal="left" vertical="center" wrapText="1"/>
    </xf>
    <xf numFmtId="0" fontId="4" fillId="10" borderId="18" xfId="0" applyFont="1" applyFill="1" applyBorder="1" applyAlignment="1">
      <alignment horizontal="left" vertical="center" wrapText="1"/>
    </xf>
    <xf numFmtId="0" fontId="32" fillId="10" borderId="18" xfId="0" applyFont="1" applyFill="1" applyBorder="1" applyAlignment="1">
      <alignment horizontal="left" vertical="center" wrapText="1"/>
    </xf>
    <xf numFmtId="0" fontId="7" fillId="3" borderId="0" xfId="0" applyFont="1" applyFill="1" applyAlignment="1">
      <alignment vertical="center"/>
    </xf>
    <xf numFmtId="0" fontId="19" fillId="3" borderId="0" xfId="0" applyFont="1" applyFill="1" applyAlignment="1">
      <alignment vertical="center"/>
    </xf>
    <xf numFmtId="0" fontId="33" fillId="0" borderId="0" xfId="0" applyFont="1"/>
    <xf numFmtId="0" fontId="4" fillId="0" borderId="0" xfId="0" applyFont="1"/>
    <xf numFmtId="0" fontId="34" fillId="0" borderId="18" xfId="0" applyFont="1" applyBorder="1" applyAlignment="1">
      <alignment vertical="center" wrapText="1"/>
    </xf>
    <xf numFmtId="0" fontId="4" fillId="0" borderId="18" xfId="0" applyFont="1" applyBorder="1" applyAlignment="1">
      <alignment vertical="center" wrapText="1"/>
    </xf>
    <xf numFmtId="0" fontId="32" fillId="0" borderId="18"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wrapText="1"/>
    </xf>
    <xf numFmtId="0" fontId="34" fillId="0" borderId="0" xfId="0" applyFont="1" applyAlignment="1">
      <alignment vertical="center" wrapText="1"/>
    </xf>
    <xf numFmtId="0" fontId="4" fillId="0" borderId="18" xfId="0" applyFont="1" applyBorder="1" applyAlignment="1">
      <alignment horizontal="left" vertical="center" wrapText="1"/>
    </xf>
    <xf numFmtId="0" fontId="32" fillId="0" borderId="18" xfId="0" applyFont="1" applyBorder="1" applyAlignment="1">
      <alignment horizontal="left" vertical="center" wrapText="1"/>
    </xf>
    <xf numFmtId="0" fontId="34" fillId="0" borderId="0" xfId="0" applyFont="1"/>
    <xf numFmtId="0" fontId="32" fillId="0" borderId="18" xfId="0" applyFont="1" applyBorder="1" applyAlignment="1">
      <alignment horizontal="center" vertical="center" wrapText="1"/>
    </xf>
    <xf numFmtId="0" fontId="7" fillId="3" borderId="20" xfId="0" applyFont="1" applyFill="1" applyBorder="1" applyAlignment="1">
      <alignment vertical="center"/>
    </xf>
    <xf numFmtId="0" fontId="0" fillId="3" borderId="20" xfId="0" applyFill="1" applyBorder="1"/>
    <xf numFmtId="165" fontId="2" fillId="0" borderId="0" xfId="0" applyNumberFormat="1" applyFont="1"/>
    <xf numFmtId="0" fontId="7" fillId="0" borderId="18" xfId="0" applyFont="1" applyBorder="1" applyAlignment="1">
      <alignment horizontal="left" vertical="center"/>
    </xf>
    <xf numFmtId="0" fontId="3" fillId="0" borderId="32" xfId="0" applyFont="1" applyBorder="1" applyAlignment="1">
      <alignment horizontal="right" vertical="center" wrapText="1"/>
    </xf>
    <xf numFmtId="165" fontId="2" fillId="0" borderId="1" xfId="1" applyNumberFormat="1" applyFont="1" applyBorder="1" applyAlignment="1">
      <alignmen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27" xfId="0" applyFont="1" applyBorder="1" applyAlignment="1">
      <alignment horizontal="center" vertical="center"/>
    </xf>
    <xf numFmtId="0" fontId="7" fillId="0" borderId="27" xfId="0" applyFont="1" applyBorder="1" applyAlignment="1">
      <alignment vertical="center"/>
    </xf>
    <xf numFmtId="165" fontId="2" fillId="0" borderId="27" xfId="1" applyNumberFormat="1" applyFont="1" applyBorder="1" applyAlignment="1">
      <alignment vertical="center"/>
    </xf>
    <xf numFmtId="0" fontId="10" fillId="7" borderId="18" xfId="0" applyFont="1" applyFill="1" applyBorder="1" applyAlignment="1">
      <alignment horizontal="left" vertical="center" wrapText="1"/>
    </xf>
    <xf numFmtId="0" fontId="7" fillId="0" borderId="0" xfId="0" applyFont="1" applyAlignment="1">
      <alignment horizontal="left"/>
    </xf>
    <xf numFmtId="0" fontId="9" fillId="0" borderId="0" xfId="0" applyFont="1" applyAlignment="1">
      <alignment horizontal="center" vertical="center" wrapText="1"/>
    </xf>
    <xf numFmtId="169" fontId="2" fillId="0" borderId="8" xfId="2" applyNumberFormat="1" applyFont="1" applyFill="1" applyBorder="1" applyAlignment="1">
      <alignment horizontal="right" vertical="center"/>
    </xf>
    <xf numFmtId="169" fontId="2" fillId="0" borderId="13" xfId="2" applyNumberFormat="1" applyFont="1" applyFill="1" applyBorder="1" applyAlignment="1">
      <alignment horizontal="right" vertical="center"/>
    </xf>
    <xf numFmtId="0" fontId="32" fillId="0" borderId="0" xfId="0" applyFont="1"/>
    <xf numFmtId="0" fontId="4" fillId="8" borderId="20" xfId="0" applyFont="1" applyFill="1" applyBorder="1" applyAlignment="1">
      <alignment vertical="center" wrapText="1"/>
    </xf>
    <xf numFmtId="0" fontId="4" fillId="8" borderId="20" xfId="0" applyFont="1" applyFill="1" applyBorder="1" applyAlignment="1">
      <alignment horizontal="left" vertical="center" wrapText="1"/>
    </xf>
    <xf numFmtId="0" fontId="4" fillId="8" borderId="20" xfId="0" applyFont="1" applyFill="1" applyBorder="1" applyAlignment="1">
      <alignment horizontal="center" vertical="center" wrapText="1"/>
    </xf>
    <xf numFmtId="0" fontId="33" fillId="8" borderId="18" xfId="0" applyFont="1" applyFill="1" applyBorder="1" applyAlignment="1">
      <alignment vertical="center" wrapText="1"/>
    </xf>
    <xf numFmtId="0" fontId="0" fillId="0" borderId="0" xfId="0" applyAlignment="1">
      <alignment horizontal="left"/>
    </xf>
    <xf numFmtId="0" fontId="32" fillId="8" borderId="18" xfId="0" applyFont="1" applyFill="1" applyBorder="1" applyAlignment="1">
      <alignment horizontal="left" vertical="center" wrapText="1"/>
    </xf>
    <xf numFmtId="0" fontId="37" fillId="8" borderId="18" xfId="0" applyFont="1" applyFill="1" applyBorder="1" applyAlignment="1">
      <alignment vertical="center" wrapText="1"/>
    </xf>
    <xf numFmtId="0" fontId="33" fillId="8" borderId="18" xfId="0" applyFont="1" applyFill="1" applyBorder="1" applyAlignment="1">
      <alignment horizontal="left" vertical="center" wrapText="1"/>
    </xf>
    <xf numFmtId="0" fontId="4" fillId="8" borderId="0" xfId="0" applyFont="1" applyFill="1" applyAlignment="1">
      <alignment vertical="center" wrapText="1"/>
    </xf>
    <xf numFmtId="0" fontId="4" fillId="8" borderId="0" xfId="0" applyFont="1" applyFill="1" applyAlignment="1">
      <alignment horizontal="left" vertical="center" wrapText="1"/>
    </xf>
    <xf numFmtId="0" fontId="4" fillId="8" borderId="0" xfId="0" applyFont="1" applyFill="1" applyAlignment="1">
      <alignment horizontal="center" vertical="center" wrapText="1"/>
    </xf>
    <xf numFmtId="0" fontId="33" fillId="0" borderId="18" xfId="0" applyFont="1" applyBorder="1" applyAlignment="1">
      <alignment vertical="center" wrapText="1"/>
    </xf>
    <xf numFmtId="0" fontId="4" fillId="0" borderId="0" xfId="0" applyFont="1" applyAlignment="1">
      <alignment horizontal="left" vertical="center" wrapText="1"/>
    </xf>
    <xf numFmtId="0" fontId="33" fillId="0" borderId="18" xfId="0" applyFont="1" applyBorder="1" applyAlignment="1">
      <alignment horizontal="left" vertical="center" wrapText="1"/>
    </xf>
    <xf numFmtId="0" fontId="32" fillId="0" borderId="0" xfId="0" applyFont="1" applyAlignment="1">
      <alignment horizontal="center" vertical="center" wrapText="1"/>
    </xf>
    <xf numFmtId="0" fontId="37" fillId="0" borderId="18" xfId="0" applyFont="1" applyBorder="1" applyAlignment="1">
      <alignment horizontal="left" vertical="center" wrapText="1"/>
    </xf>
    <xf numFmtId="0" fontId="10" fillId="7" borderId="51" xfId="0" applyFont="1" applyFill="1" applyBorder="1" applyAlignment="1">
      <alignment horizontal="center" vertical="center" wrapText="1"/>
    </xf>
    <xf numFmtId="0" fontId="10" fillId="7" borderId="51" xfId="0" applyFont="1" applyFill="1" applyBorder="1" applyAlignment="1">
      <alignment horizontal="left" vertical="center" wrapText="1"/>
    </xf>
    <xf numFmtId="0" fontId="34" fillId="0" borderId="0" xfId="0" applyFont="1" applyAlignment="1">
      <alignment horizontal="center" vertical="center" wrapText="1"/>
    </xf>
    <xf numFmtId="165" fontId="7" fillId="0" borderId="1" xfId="1" applyNumberFormat="1" applyFont="1" applyBorder="1" applyAlignment="1">
      <alignment horizontal="center" vertical="center"/>
    </xf>
    <xf numFmtId="9" fontId="7" fillId="0" borderId="1" xfId="2" applyFont="1" applyBorder="1" applyAlignment="1">
      <alignment vertical="center"/>
    </xf>
    <xf numFmtId="165" fontId="7" fillId="0" borderId="27" xfId="1" applyNumberFormat="1" applyFont="1" applyBorder="1" applyAlignment="1">
      <alignment horizontal="center" vertical="center"/>
    </xf>
    <xf numFmtId="165" fontId="7" fillId="0" borderId="25" xfId="0" applyNumberFormat="1" applyFont="1" applyBorder="1" applyAlignment="1">
      <alignment horizontal="center" vertical="center"/>
    </xf>
    <xf numFmtId="9" fontId="7" fillId="0" borderId="27" xfId="0" applyNumberFormat="1" applyFont="1" applyBorder="1" applyAlignment="1">
      <alignment horizontal="center" vertical="center"/>
    </xf>
    <xf numFmtId="165" fontId="7" fillId="0" borderId="28" xfId="0" applyNumberFormat="1" applyFont="1" applyBorder="1" applyAlignment="1">
      <alignment horizontal="center" vertical="center"/>
    </xf>
    <xf numFmtId="42" fontId="7" fillId="0" borderId="1" xfId="3" applyNumberFormat="1" applyFont="1" applyBorder="1" applyAlignment="1">
      <alignment vertical="center"/>
    </xf>
    <xf numFmtId="167" fontId="7" fillId="0" borderId="1" xfId="3" applyNumberFormat="1" applyFont="1" applyBorder="1" applyAlignment="1">
      <alignment vertical="center"/>
    </xf>
    <xf numFmtId="165" fontId="7" fillId="0" borderId="1" xfId="1" applyNumberFormat="1" applyFont="1" applyFill="1" applyBorder="1" applyAlignment="1">
      <alignment vertical="center"/>
    </xf>
    <xf numFmtId="1" fontId="7" fillId="0" borderId="1" xfId="0" applyNumberFormat="1" applyFont="1" applyBorder="1" applyAlignment="1">
      <alignment vertical="center"/>
    </xf>
    <xf numFmtId="165" fontId="7" fillId="0" borderId="25" xfId="1" applyNumberFormat="1" applyFont="1" applyFill="1" applyBorder="1" applyAlignment="1">
      <alignment horizontal="center" vertical="center"/>
    </xf>
    <xf numFmtId="9" fontId="2" fillId="0" borderId="25" xfId="0" applyNumberFormat="1" applyFont="1" applyBorder="1" applyAlignment="1">
      <alignment horizontal="center" vertical="center"/>
    </xf>
    <xf numFmtId="0" fontId="2" fillId="0" borderId="8" xfId="0" applyFont="1" applyBorder="1" applyAlignment="1">
      <alignment horizontal="center" vertical="center"/>
    </xf>
    <xf numFmtId="165" fontId="2" fillId="0" borderId="8" xfId="1" applyNumberFormat="1" applyFont="1" applyFill="1" applyBorder="1" applyAlignment="1">
      <alignment horizontal="center" vertical="center"/>
    </xf>
    <xf numFmtId="165" fontId="2" fillId="0" borderId="8" xfId="1" applyNumberFormat="1" applyFont="1" applyFill="1" applyBorder="1" applyAlignment="1">
      <alignment horizontal="center" vertical="center" wrapText="1"/>
    </xf>
    <xf numFmtId="169" fontId="2" fillId="0" borderId="8" xfId="2" applyNumberFormat="1" applyFont="1" applyFill="1" applyBorder="1" applyAlignment="1">
      <alignment vertical="center" wrapText="1"/>
    </xf>
    <xf numFmtId="169" fontId="2" fillId="0" borderId="13" xfId="2" applyNumberFormat="1" applyFont="1" applyFill="1" applyBorder="1" applyAlignment="1">
      <alignment vertical="center" wrapText="1"/>
    </xf>
    <xf numFmtId="1" fontId="7" fillId="0" borderId="0" xfId="0" applyNumberFormat="1" applyFont="1" applyAlignment="1">
      <alignment horizontal="center" vertical="center"/>
    </xf>
    <xf numFmtId="43" fontId="7" fillId="0" borderId="0" xfId="1" applyFont="1" applyAlignment="1">
      <alignment vertical="center"/>
    </xf>
    <xf numFmtId="165" fontId="2" fillId="0" borderId="28" xfId="0" applyNumberFormat="1" applyFont="1" applyBorder="1" applyAlignment="1">
      <alignment horizontal="center" vertical="center"/>
    </xf>
    <xf numFmtId="0" fontId="32" fillId="0" borderId="0" xfId="0" applyFont="1" applyAlignment="1">
      <alignment vertical="center"/>
    </xf>
    <xf numFmtId="0" fontId="7" fillId="0" borderId="18" xfId="0" applyFont="1" applyBorder="1" applyAlignment="1">
      <alignment horizontal="right" vertical="center"/>
    </xf>
    <xf numFmtId="0" fontId="7" fillId="0" borderId="18" xfId="0" applyFont="1" applyBorder="1" applyAlignment="1">
      <alignment horizontal="center" vertical="center"/>
    </xf>
    <xf numFmtId="0" fontId="4" fillId="8" borderId="18" xfId="0" applyFont="1" applyFill="1" applyBorder="1" applyAlignment="1">
      <alignment horizontal="center" vertical="center" wrapText="1"/>
    </xf>
    <xf numFmtId="0" fontId="10" fillId="9" borderId="8"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51" xfId="0" applyFont="1" applyBorder="1" applyAlignment="1">
      <alignment horizontal="left" vertical="center" wrapText="1"/>
    </xf>
    <xf numFmtId="0" fontId="4" fillId="0" borderId="53" xfId="0" applyFont="1" applyBorder="1" applyAlignment="1">
      <alignment horizontal="left" vertical="center" wrapText="1"/>
    </xf>
    <xf numFmtId="0" fontId="10" fillId="9" borderId="36" xfId="0" applyFont="1" applyFill="1" applyBorder="1" applyAlignment="1">
      <alignment horizontal="center" vertical="center"/>
    </xf>
    <xf numFmtId="171" fontId="3" fillId="0" borderId="33" xfId="0" applyNumberFormat="1" applyFont="1" applyBorder="1" applyAlignment="1">
      <alignment horizontal="center" vertical="center" wrapText="1"/>
    </xf>
    <xf numFmtId="0" fontId="2" fillId="0" borderId="63" xfId="0" applyFont="1" applyBorder="1" applyAlignment="1">
      <alignment vertical="center" wrapText="1"/>
    </xf>
    <xf numFmtId="43" fontId="2" fillId="2" borderId="18" xfId="1" applyFont="1" applyFill="1" applyBorder="1" applyAlignment="1">
      <alignment horizontal="center" vertical="center"/>
    </xf>
    <xf numFmtId="10" fontId="2" fillId="0" borderId="0" xfId="2" applyNumberFormat="1" applyFont="1" applyFill="1" applyBorder="1" applyAlignment="1">
      <alignment horizontal="right" vertical="center"/>
    </xf>
    <xf numFmtId="168" fontId="7" fillId="0" borderId="0" xfId="1" applyNumberFormat="1" applyFont="1" applyFill="1" applyBorder="1" applyAlignment="1">
      <alignment vertical="center"/>
    </xf>
    <xf numFmtId="10" fontId="7" fillId="0" borderId="0" xfId="2" applyNumberFormat="1" applyFont="1" applyFill="1" applyBorder="1" applyAlignment="1">
      <alignment vertical="center"/>
    </xf>
    <xf numFmtId="169" fontId="7" fillId="0" borderId="0" xfId="2" applyNumberFormat="1" applyFont="1" applyBorder="1" applyAlignment="1">
      <alignment horizontal="center" vertical="center"/>
    </xf>
    <xf numFmtId="164" fontId="7" fillId="0" borderId="0" xfId="0" applyNumberFormat="1" applyFont="1" applyAlignment="1">
      <alignment vertical="center"/>
    </xf>
    <xf numFmtId="0" fontId="2" fillId="0" borderId="28" xfId="0" applyFont="1" applyBorder="1" applyAlignment="1">
      <alignment horizontal="center" vertical="center"/>
    </xf>
    <xf numFmtId="167" fontId="10" fillId="9" borderId="4" xfId="3" applyNumberFormat="1" applyFont="1" applyFill="1" applyBorder="1" applyAlignment="1">
      <alignment horizontal="center" vertical="center"/>
    </xf>
    <xf numFmtId="167" fontId="10" fillId="9" borderId="3" xfId="3" applyNumberFormat="1" applyFont="1" applyFill="1" applyBorder="1" applyAlignment="1">
      <alignment horizontal="center" vertical="center" wrapText="1"/>
    </xf>
    <xf numFmtId="0" fontId="10" fillId="9" borderId="43" xfId="0" applyFont="1" applyFill="1" applyBorder="1" applyAlignment="1">
      <alignment horizontal="center" vertical="center"/>
    </xf>
    <xf numFmtId="165" fontId="10" fillId="9" borderId="36" xfId="1" applyNumberFormat="1" applyFont="1" applyFill="1" applyBorder="1" applyAlignment="1">
      <alignment horizontal="center" vertical="center" wrapText="1"/>
    </xf>
    <xf numFmtId="0" fontId="3" fillId="9" borderId="37" xfId="0" applyFont="1" applyFill="1" applyBorder="1" applyAlignment="1">
      <alignment horizontal="center" vertical="center"/>
    </xf>
    <xf numFmtId="0" fontId="10" fillId="9" borderId="36" xfId="0" applyFont="1" applyFill="1" applyBorder="1" applyAlignment="1">
      <alignment horizontal="center" vertical="center" wrapText="1"/>
    </xf>
    <xf numFmtId="0" fontId="10" fillId="9" borderId="37"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10" fillId="9" borderId="23" xfId="0" applyFont="1" applyFill="1" applyBorder="1" applyAlignment="1">
      <alignment horizontal="center" vertical="center" wrapText="1"/>
    </xf>
    <xf numFmtId="0" fontId="7" fillId="0" borderId="72" xfId="0" applyFont="1" applyBorder="1" applyAlignment="1">
      <alignment horizontal="center" vertical="center"/>
    </xf>
    <xf numFmtId="0" fontId="10" fillId="9" borderId="75" xfId="0" applyFont="1" applyFill="1" applyBorder="1"/>
    <xf numFmtId="0" fontId="11" fillId="9" borderId="70" xfId="0" applyFont="1" applyFill="1" applyBorder="1"/>
    <xf numFmtId="0" fontId="11" fillId="9" borderId="73" xfId="0" applyFont="1" applyFill="1" applyBorder="1"/>
    <xf numFmtId="0" fontId="11" fillId="9" borderId="74" xfId="0" applyFont="1" applyFill="1" applyBorder="1"/>
    <xf numFmtId="0" fontId="16" fillId="9" borderId="36" xfId="0" applyFont="1" applyFill="1" applyBorder="1" applyAlignment="1">
      <alignment horizontal="center" vertical="center"/>
    </xf>
    <xf numFmtId="0" fontId="3" fillId="9" borderId="36" xfId="0" applyFont="1" applyFill="1" applyBorder="1" applyAlignment="1">
      <alignment horizontal="center" vertical="center"/>
    </xf>
    <xf numFmtId="0" fontId="3" fillId="9" borderId="22" xfId="0" applyFont="1" applyFill="1" applyBorder="1" applyAlignment="1">
      <alignment horizontal="center" vertical="center" wrapText="1"/>
    </xf>
    <xf numFmtId="0" fontId="22" fillId="3" borderId="0" xfId="0" applyFont="1" applyFill="1" applyAlignment="1">
      <alignment horizontal="left" vertical="center" indent="4"/>
    </xf>
    <xf numFmtId="165" fontId="22" fillId="3" borderId="0" xfId="1" applyNumberFormat="1" applyFont="1" applyFill="1" applyBorder="1" applyAlignment="1">
      <alignment horizontal="left" vertical="center" indent="4"/>
    </xf>
    <xf numFmtId="165" fontId="24" fillId="3" borderId="0" xfId="1" applyNumberFormat="1" applyFont="1" applyFill="1" applyBorder="1" applyAlignment="1">
      <alignment horizontal="left" vertical="center" indent="4"/>
    </xf>
    <xf numFmtId="1" fontId="22" fillId="3" borderId="0" xfId="0" applyNumberFormat="1" applyFont="1" applyFill="1" applyAlignment="1">
      <alignment horizontal="left" vertical="center" indent="4"/>
    </xf>
    <xf numFmtId="0" fontId="24" fillId="3" borderId="0" xfId="0" applyFont="1" applyFill="1" applyAlignment="1">
      <alignment horizontal="left" vertical="center" indent="4"/>
    </xf>
    <xf numFmtId="0" fontId="25" fillId="0" borderId="0" xfId="0" applyFont="1" applyAlignment="1">
      <alignment horizontal="left" vertical="center" indent="4"/>
    </xf>
    <xf numFmtId="165" fontId="7" fillId="0" borderId="30" xfId="1" applyNumberFormat="1" applyFont="1" applyFill="1" applyBorder="1" applyAlignment="1">
      <alignment horizontal="right" vertical="center"/>
    </xf>
    <xf numFmtId="165" fontId="10" fillId="9" borderId="79" xfId="0" applyNumberFormat="1" applyFont="1" applyFill="1" applyBorder="1" applyAlignment="1">
      <alignment vertical="center"/>
    </xf>
    <xf numFmtId="0" fontId="7" fillId="0" borderId="0" xfId="0" applyFont="1" applyAlignment="1">
      <alignment horizontal="left" vertical="center" indent="4"/>
    </xf>
    <xf numFmtId="0" fontId="6" fillId="2" borderId="0" xfId="0" applyFont="1" applyFill="1" applyAlignment="1">
      <alignment vertical="center" wrapText="1"/>
    </xf>
    <xf numFmtId="165" fontId="10" fillId="2" borderId="0" xfId="1" applyNumberFormat="1" applyFont="1" applyFill="1" applyBorder="1" applyAlignment="1">
      <alignment horizontal="left" vertical="center" indent="4"/>
    </xf>
    <xf numFmtId="165" fontId="18" fillId="2" borderId="0" xfId="1" applyNumberFormat="1" applyFont="1" applyFill="1" applyBorder="1" applyAlignment="1">
      <alignment horizontal="left" vertical="center" indent="4"/>
    </xf>
    <xf numFmtId="0" fontId="10" fillId="2" borderId="0" xfId="0" applyFont="1" applyFill="1" applyAlignment="1">
      <alignment horizontal="left" vertical="center" indent="4"/>
    </xf>
    <xf numFmtId="1" fontId="10" fillId="2" borderId="0" xfId="0" applyNumberFormat="1" applyFont="1" applyFill="1" applyAlignment="1">
      <alignment horizontal="left" vertical="center" indent="4"/>
    </xf>
    <xf numFmtId="0" fontId="18" fillId="2" borderId="0" xfId="0" applyFont="1" applyFill="1" applyAlignment="1">
      <alignment horizontal="left" vertical="center" indent="4"/>
    </xf>
    <xf numFmtId="43" fontId="7" fillId="0" borderId="0" xfId="1" applyFont="1" applyBorder="1" applyAlignment="1">
      <alignment horizontal="right" vertical="center"/>
    </xf>
    <xf numFmtId="0" fontId="0" fillId="0" borderId="0" xfId="0" applyAlignment="1">
      <alignment wrapText="1"/>
    </xf>
    <xf numFmtId="0" fontId="6" fillId="0" borderId="0" xfId="0" applyFont="1" applyAlignment="1">
      <alignment vertical="center" wrapText="1"/>
    </xf>
    <xf numFmtId="0" fontId="7" fillId="9" borderId="18" xfId="0" applyFont="1" applyFill="1" applyBorder="1" applyAlignment="1">
      <alignment horizontal="center" vertical="center"/>
    </xf>
    <xf numFmtId="168" fontId="7" fillId="0" borderId="18" xfId="1" applyNumberFormat="1" applyFont="1" applyFill="1" applyBorder="1" applyAlignment="1">
      <alignment horizontal="center" vertical="center"/>
    </xf>
    <xf numFmtId="43" fontId="7" fillId="0" borderId="18" xfId="1" applyFont="1" applyBorder="1" applyAlignment="1">
      <alignment horizontal="right" vertical="center"/>
    </xf>
    <xf numFmtId="168" fontId="7" fillId="0" borderId="18" xfId="1" applyNumberFormat="1" applyFont="1" applyFill="1" applyBorder="1" applyAlignment="1">
      <alignment vertical="center"/>
    </xf>
    <xf numFmtId="0" fontId="10" fillId="9" borderId="29" xfId="0" applyFont="1" applyFill="1" applyBorder="1" applyAlignment="1">
      <alignment horizontal="right" vertical="center" wrapText="1"/>
    </xf>
    <xf numFmtId="0" fontId="7" fillId="0" borderId="29" xfId="0" applyFont="1" applyBorder="1" applyAlignment="1">
      <alignment horizontal="right" vertical="center" wrapText="1"/>
    </xf>
    <xf numFmtId="0" fontId="7" fillId="0" borderId="31" xfId="0" applyFont="1" applyBorder="1" applyAlignment="1">
      <alignment horizontal="right" vertical="center" wrapText="1"/>
    </xf>
    <xf numFmtId="0" fontId="2" fillId="0" borderId="80" xfId="0" applyFont="1" applyBorder="1" applyAlignment="1">
      <alignment horizontal="center" vertical="center"/>
    </xf>
    <xf numFmtId="0" fontId="22" fillId="3" borderId="0" xfId="0" applyFont="1" applyFill="1" applyAlignment="1">
      <alignment horizontal="center" vertical="center"/>
    </xf>
    <xf numFmtId="0" fontId="6" fillId="2" borderId="0" xfId="0" applyFont="1" applyFill="1" applyAlignment="1">
      <alignment horizontal="center" vertical="center" wrapText="1"/>
    </xf>
    <xf numFmtId="0" fontId="10" fillId="0" borderId="0" xfId="0" applyFont="1" applyAlignment="1">
      <alignment horizontal="center" vertical="center"/>
    </xf>
    <xf numFmtId="43" fontId="7" fillId="0" borderId="0" xfId="1" applyFont="1" applyAlignment="1">
      <alignment horizontal="center" vertical="center"/>
    </xf>
    <xf numFmtId="0" fontId="7" fillId="0" borderId="31" xfId="0" applyFont="1" applyBorder="1" applyAlignment="1">
      <alignment vertical="center" wrapText="1"/>
    </xf>
    <xf numFmtId="0" fontId="3" fillId="9" borderId="35" xfId="0" applyFont="1" applyFill="1" applyBorder="1" applyAlignment="1">
      <alignment vertical="center" wrapText="1"/>
    </xf>
    <xf numFmtId="0" fontId="7" fillId="0" borderId="38" xfId="0" applyFont="1" applyBorder="1" applyAlignment="1">
      <alignment vertical="center" wrapText="1"/>
    </xf>
    <xf numFmtId="171" fontId="7" fillId="0" borderId="39" xfId="0" applyNumberFormat="1" applyFont="1" applyBorder="1" applyAlignment="1">
      <alignment horizontal="center" vertical="center"/>
    </xf>
    <xf numFmtId="0" fontId="7" fillId="0" borderId="82" xfId="0" applyFont="1" applyBorder="1" applyAlignment="1">
      <alignment vertical="center" wrapText="1"/>
    </xf>
    <xf numFmtId="0" fontId="7" fillId="0" borderId="83" xfId="0" applyFont="1" applyBorder="1" applyAlignment="1">
      <alignment horizontal="center" vertical="center"/>
    </xf>
    <xf numFmtId="171" fontId="7" fillId="0" borderId="84" xfId="0" applyNumberFormat="1" applyFont="1" applyBorder="1" applyAlignment="1">
      <alignment horizontal="center" vertical="center"/>
    </xf>
    <xf numFmtId="0" fontId="6" fillId="2" borderId="0" xfId="0" applyFont="1" applyFill="1" applyAlignment="1">
      <alignment vertical="center"/>
    </xf>
    <xf numFmtId="43" fontId="7" fillId="2" borderId="18" xfId="1" applyFont="1" applyFill="1" applyBorder="1" applyAlignment="1">
      <alignment horizontal="center" vertical="center"/>
    </xf>
    <xf numFmtId="165" fontId="2" fillId="0" borderId="18" xfId="1" applyNumberFormat="1" applyFont="1" applyFill="1" applyBorder="1" applyAlignment="1">
      <alignment horizontal="right" vertical="center"/>
    </xf>
    <xf numFmtId="9" fontId="2" fillId="0" borderId="18" xfId="2" applyFont="1" applyFill="1" applyBorder="1" applyAlignment="1">
      <alignment horizontal="right" vertical="center"/>
    </xf>
    <xf numFmtId="43" fontId="10" fillId="6" borderId="85" xfId="1" applyFont="1" applyFill="1" applyBorder="1" applyAlignment="1">
      <alignment vertical="center" wrapText="1"/>
    </xf>
    <xf numFmtId="0" fontId="2" fillId="6" borderId="86" xfId="1" applyNumberFormat="1" applyFont="1" applyFill="1" applyBorder="1" applyAlignment="1">
      <alignment horizontal="center" vertical="center"/>
    </xf>
    <xf numFmtId="43" fontId="2" fillId="6" borderId="86" xfId="1" applyFont="1" applyFill="1" applyBorder="1" applyAlignment="1">
      <alignment horizontal="right" vertical="center"/>
    </xf>
    <xf numFmtId="43" fontId="2" fillId="6" borderId="87" xfId="1" applyFont="1" applyFill="1" applyBorder="1" applyAlignment="1">
      <alignment horizontal="right" vertical="center"/>
    </xf>
    <xf numFmtId="165" fontId="2" fillId="0" borderId="18" xfId="1" applyNumberFormat="1" applyFont="1" applyBorder="1" applyAlignment="1">
      <alignment horizontal="right" vertical="center"/>
    </xf>
    <xf numFmtId="9" fontId="2" fillId="0" borderId="18" xfId="1" applyNumberFormat="1" applyFont="1" applyBorder="1" applyAlignment="1">
      <alignment horizontal="right" vertical="center"/>
    </xf>
    <xf numFmtId="43" fontId="7" fillId="0" borderId="18" xfId="1" applyFont="1" applyFill="1" applyBorder="1" applyAlignment="1">
      <alignment horizontal="right" vertical="center"/>
    </xf>
    <xf numFmtId="43" fontId="2" fillId="0" borderId="18" xfId="1" applyFont="1" applyBorder="1" applyAlignment="1">
      <alignment horizontal="right" vertical="center"/>
    </xf>
    <xf numFmtId="9" fontId="2" fillId="0" borderId="18" xfId="2" applyFont="1" applyBorder="1" applyAlignment="1">
      <alignment horizontal="right" vertical="center"/>
    </xf>
    <xf numFmtId="0" fontId="28" fillId="3" borderId="0" xfId="0" applyFont="1" applyFill="1" applyAlignment="1">
      <alignment vertical="center" wrapText="1"/>
    </xf>
    <xf numFmtId="0" fontId="47" fillId="2" borderId="9" xfId="0" applyFont="1" applyFill="1" applyBorder="1" applyAlignment="1">
      <alignment horizont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0" borderId="12" xfId="0" applyFont="1" applyBorder="1" applyAlignment="1">
      <alignment vertical="center" wrapText="1"/>
    </xf>
    <xf numFmtId="0" fontId="45" fillId="0" borderId="0" xfId="0" applyFont="1" applyAlignment="1">
      <alignment vertical="center" wrapText="1"/>
    </xf>
    <xf numFmtId="0" fontId="10" fillId="9" borderId="91" xfId="0" applyFont="1" applyFill="1" applyBorder="1" applyAlignment="1">
      <alignment vertical="center" wrapText="1"/>
    </xf>
    <xf numFmtId="0" fontId="10" fillId="9" borderId="92" xfId="0" applyFont="1" applyFill="1" applyBorder="1" applyAlignment="1">
      <alignment horizontal="center" vertical="center"/>
    </xf>
    <xf numFmtId="0" fontId="10" fillId="9" borderId="93" xfId="0" applyFont="1" applyFill="1" applyBorder="1" applyAlignment="1">
      <alignment horizontal="center" vertical="center"/>
    </xf>
    <xf numFmtId="0" fontId="7" fillId="0" borderId="94" xfId="0" applyFont="1" applyBorder="1" applyAlignment="1">
      <alignment vertical="center" wrapText="1"/>
    </xf>
    <xf numFmtId="0" fontId="7" fillId="0" borderId="95" xfId="0" applyFont="1" applyBorder="1" applyAlignment="1">
      <alignment horizontal="center" vertical="center"/>
    </xf>
    <xf numFmtId="0" fontId="2" fillId="0" borderId="94" xfId="0" applyFont="1" applyBorder="1" applyAlignment="1">
      <alignment vertical="center" wrapText="1"/>
    </xf>
    <xf numFmtId="0" fontId="2" fillId="0" borderId="95" xfId="0" applyFont="1" applyBorder="1" applyAlignment="1">
      <alignment horizontal="center" vertical="center"/>
    </xf>
    <xf numFmtId="0" fontId="2" fillId="0" borderId="96" xfId="0" applyFont="1" applyBorder="1" applyAlignment="1">
      <alignment vertical="center" wrapText="1"/>
    </xf>
    <xf numFmtId="0" fontId="2" fillId="0" borderId="98" xfId="0" applyFont="1" applyBorder="1" applyAlignment="1">
      <alignment horizontal="center" vertical="center"/>
    </xf>
    <xf numFmtId="0" fontId="45" fillId="0" borderId="0" xfId="0" applyFont="1" applyAlignment="1">
      <alignment horizontal="left" vertical="center" wrapText="1"/>
    </xf>
    <xf numFmtId="0" fontId="5" fillId="0" borderId="0" xfId="0" applyFont="1"/>
    <xf numFmtId="0" fontId="6" fillId="2" borderId="0" xfId="0" applyFont="1" applyFill="1" applyAlignment="1">
      <alignment horizontal="left" vertical="center"/>
    </xf>
    <xf numFmtId="0" fontId="6" fillId="2" borderId="0" xfId="0" applyFont="1" applyFill="1" applyAlignment="1">
      <alignment horizontal="left" vertical="center" wrapText="1"/>
    </xf>
    <xf numFmtId="168" fontId="2" fillId="0" borderId="0" xfId="1" applyNumberFormat="1" applyFont="1" applyFill="1" applyBorder="1" applyAlignment="1">
      <alignment horizontal="center" vertical="center"/>
    </xf>
    <xf numFmtId="10" fontId="2" fillId="0" borderId="18" xfId="2" applyNumberFormat="1" applyFont="1" applyFill="1" applyBorder="1" applyAlignment="1">
      <alignment horizontal="right" vertical="center"/>
    </xf>
    <xf numFmtId="168" fontId="2" fillId="0" borderId="30" xfId="1" applyNumberFormat="1" applyFont="1" applyFill="1" applyBorder="1" applyAlignment="1">
      <alignment horizontal="center" vertical="center"/>
    </xf>
    <xf numFmtId="168" fontId="2" fillId="0" borderId="32" xfId="1" applyNumberFormat="1" applyFont="1" applyFill="1" applyBorder="1" applyAlignment="1">
      <alignment horizontal="center" vertical="center"/>
    </xf>
    <xf numFmtId="10" fontId="2" fillId="0" borderId="32" xfId="2" applyNumberFormat="1" applyFont="1" applyFill="1" applyBorder="1" applyAlignment="1">
      <alignment horizontal="right" vertical="center"/>
    </xf>
    <xf numFmtId="168" fontId="2" fillId="0" borderId="33" xfId="1" applyNumberFormat="1" applyFont="1" applyFill="1" applyBorder="1" applyAlignment="1">
      <alignment horizontal="center" vertical="center"/>
    </xf>
    <xf numFmtId="0" fontId="7" fillId="9" borderId="18" xfId="0" applyFont="1" applyFill="1" applyBorder="1" applyAlignment="1">
      <alignment horizontal="center" vertical="center" wrapText="1"/>
    </xf>
    <xf numFmtId="0" fontId="2" fillId="9" borderId="18" xfId="0" applyFont="1" applyFill="1" applyBorder="1" applyAlignment="1">
      <alignment horizontal="center" vertical="center" wrapText="1"/>
    </xf>
    <xf numFmtId="10" fontId="2" fillId="0" borderId="18" xfId="2" applyNumberFormat="1" applyFont="1" applyFill="1" applyBorder="1" applyAlignment="1">
      <alignment horizontal="center" vertical="center"/>
    </xf>
    <xf numFmtId="10" fontId="7" fillId="0" borderId="18" xfId="2" applyNumberFormat="1" applyFont="1" applyFill="1" applyBorder="1" applyAlignment="1">
      <alignment horizontal="center" vertical="center"/>
    </xf>
    <xf numFmtId="10" fontId="7" fillId="0" borderId="30" xfId="2" applyNumberFormat="1" applyFont="1" applyFill="1" applyBorder="1" applyAlignment="1">
      <alignment horizontal="center" vertical="center"/>
    </xf>
    <xf numFmtId="0" fontId="19" fillId="0" borderId="0" xfId="0" applyFont="1" applyAlignment="1">
      <alignment vertical="center" wrapText="1"/>
    </xf>
    <xf numFmtId="43" fontId="7" fillId="0" borderId="0" xfId="1" applyFont="1" applyBorder="1" applyAlignment="1">
      <alignment horizontal="center" vertical="center"/>
    </xf>
    <xf numFmtId="0" fontId="0" fillId="0" borderId="18" xfId="0" applyBorder="1" applyAlignment="1">
      <alignment horizontal="center"/>
    </xf>
    <xf numFmtId="0" fontId="47" fillId="2" borderId="21" xfId="0" applyFont="1" applyFill="1" applyBorder="1" applyAlignment="1">
      <alignment horizontal="center"/>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0" fillId="0" borderId="30"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169" fontId="7" fillId="0" borderId="8" xfId="2" applyNumberFormat="1" applyFont="1" applyBorder="1"/>
    <xf numFmtId="0" fontId="7" fillId="0" borderId="8" xfId="0" applyFont="1" applyBorder="1" applyAlignment="1">
      <alignment horizontal="center"/>
    </xf>
    <xf numFmtId="0" fontId="7" fillId="0" borderId="13" xfId="0" applyFont="1" applyBorder="1" applyAlignment="1">
      <alignment horizontal="center"/>
    </xf>
    <xf numFmtId="9" fontId="7" fillId="0" borderId="8" xfId="2" applyFont="1" applyBorder="1"/>
    <xf numFmtId="165" fontId="7" fillId="0" borderId="30" xfId="1" applyNumberFormat="1" applyFont="1" applyFill="1" applyBorder="1" applyAlignment="1">
      <alignment horizontal="center" vertical="center"/>
    </xf>
    <xf numFmtId="0" fontId="28" fillId="3" borderId="0" xfId="0" applyFont="1" applyFill="1" applyAlignment="1">
      <alignment horizontal="left" vertical="center" indent="4"/>
    </xf>
    <xf numFmtId="0" fontId="28" fillId="3" borderId="0" xfId="0" applyFont="1" applyFill="1" applyAlignment="1">
      <alignment horizontal="left" vertical="center" indent="5"/>
    </xf>
    <xf numFmtId="10" fontId="2" fillId="0" borderId="18" xfId="2" applyNumberFormat="1" applyFont="1" applyFill="1" applyBorder="1" applyAlignment="1">
      <alignment vertical="center"/>
    </xf>
    <xf numFmtId="169" fontId="2" fillId="0" borderId="18" xfId="2" applyNumberFormat="1" applyFont="1" applyFill="1" applyBorder="1" applyAlignment="1">
      <alignment vertical="center"/>
    </xf>
    <xf numFmtId="9" fontId="2" fillId="0" borderId="18" xfId="2" applyFont="1" applyFill="1" applyBorder="1" applyAlignment="1">
      <alignment vertical="center"/>
    </xf>
    <xf numFmtId="2" fontId="2" fillId="0" borderId="30" xfId="1" applyNumberFormat="1" applyFont="1" applyFill="1" applyBorder="1" applyAlignment="1">
      <alignment horizontal="right" vertical="center"/>
    </xf>
    <xf numFmtId="0" fontId="49" fillId="0" borderId="0" xfId="0" applyFont="1" applyAlignment="1">
      <alignment horizontal="left" vertical="center"/>
    </xf>
    <xf numFmtId="168" fontId="7" fillId="0" borderId="8" xfId="1" applyNumberFormat="1" applyFont="1" applyBorder="1"/>
    <xf numFmtId="168" fontId="7" fillId="0" borderId="8" xfId="1" applyNumberFormat="1" applyFont="1" applyBorder="1" applyAlignment="1">
      <alignment horizontal="center"/>
    </xf>
    <xf numFmtId="168" fontId="7" fillId="0" borderId="13" xfId="1" applyNumberFormat="1" applyFont="1" applyBorder="1"/>
    <xf numFmtId="0" fontId="51" fillId="0" borderId="0" xfId="0" applyFont="1" applyAlignment="1">
      <alignment vertical="center"/>
    </xf>
    <xf numFmtId="171" fontId="7" fillId="0" borderId="8" xfId="0" applyNumberFormat="1" applyFont="1" applyBorder="1" applyAlignment="1">
      <alignment horizontal="right" vertical="center"/>
    </xf>
    <xf numFmtId="168" fontId="7" fillId="0" borderId="32" xfId="1" applyNumberFormat="1" applyFont="1" applyBorder="1" applyAlignment="1">
      <alignment horizontal="center" vertical="center"/>
    </xf>
    <xf numFmtId="0" fontId="3" fillId="0" borderId="64" xfId="0" applyFont="1" applyBorder="1" applyAlignment="1">
      <alignment horizontal="center" vertical="center" wrapText="1"/>
    </xf>
    <xf numFmtId="0" fontId="45" fillId="0" borderId="0" xfId="0" applyFont="1" applyAlignme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97" xfId="0" applyFont="1" applyBorder="1" applyAlignment="1">
      <alignment horizontal="center" vertical="center" wrapText="1"/>
    </xf>
    <xf numFmtId="0" fontId="7" fillId="0" borderId="8"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8" xfId="0" applyFont="1" applyBorder="1" applyAlignment="1">
      <alignment horizontal="center" vertical="center" wrapText="1"/>
    </xf>
    <xf numFmtId="0" fontId="7" fillId="0" borderId="0" xfId="0" applyFont="1" applyAlignment="1">
      <alignment horizontal="center" vertical="top"/>
    </xf>
    <xf numFmtId="0" fontId="45" fillId="0" borderId="0" xfId="0" applyFont="1" applyAlignment="1">
      <alignment vertical="top"/>
    </xf>
    <xf numFmtId="0" fontId="7" fillId="0" borderId="0" xfId="0" applyFont="1" applyAlignment="1">
      <alignment vertical="top"/>
    </xf>
    <xf numFmtId="0" fontId="22" fillId="3" borderId="0" xfId="0" applyFont="1" applyFill="1" applyAlignment="1" applyProtection="1">
      <alignment vertical="center"/>
      <protection locked="0"/>
    </xf>
    <xf numFmtId="0" fontId="22" fillId="3" borderId="0" xfId="0" applyFont="1" applyFill="1" applyAlignment="1" applyProtection="1">
      <alignment horizontal="left" vertical="center" indent="4"/>
      <protection locked="0"/>
    </xf>
    <xf numFmtId="165" fontId="10" fillId="3" borderId="0" xfId="1" applyNumberFormat="1" applyFont="1" applyFill="1" applyBorder="1" applyAlignment="1" applyProtection="1">
      <alignment horizontal="center" vertical="center"/>
      <protection locked="0"/>
    </xf>
    <xf numFmtId="165" fontId="10" fillId="3" borderId="0" xfId="1" applyNumberFormat="1" applyFont="1" applyFill="1" applyBorder="1" applyAlignment="1" applyProtection="1">
      <alignment vertical="center"/>
      <protection locked="0"/>
    </xf>
    <xf numFmtId="165" fontId="18" fillId="3" borderId="0" xfId="1" applyNumberFormat="1" applyFont="1" applyFill="1" applyBorder="1" applyAlignment="1" applyProtection="1">
      <alignment vertical="center"/>
      <protection locked="0"/>
    </xf>
    <xf numFmtId="0" fontId="10" fillId="3" borderId="0" xfId="0" applyFont="1" applyFill="1" applyAlignment="1" applyProtection="1">
      <alignment vertical="center"/>
      <protection locked="0"/>
    </xf>
    <xf numFmtId="1" fontId="10" fillId="3" borderId="0" xfId="0" applyNumberFormat="1" applyFont="1" applyFill="1" applyAlignment="1" applyProtection="1">
      <alignment vertical="center"/>
      <protection locked="0"/>
    </xf>
    <xf numFmtId="0" fontId="18" fillId="3" borderId="0" xfId="0" applyFont="1" applyFill="1" applyAlignment="1" applyProtection="1">
      <alignment vertical="center"/>
      <protection locked="0"/>
    </xf>
    <xf numFmtId="0" fontId="7" fillId="0" borderId="0" xfId="0" applyFont="1" applyProtection="1">
      <protection locked="0"/>
    </xf>
    <xf numFmtId="0" fontId="0" fillId="0" borderId="0" xfId="0" applyProtection="1">
      <protection locked="0"/>
    </xf>
    <xf numFmtId="0" fontId="6" fillId="2" borderId="0" xfId="0" applyFont="1" applyFill="1" applyAlignment="1" applyProtection="1">
      <alignment horizontal="center" vertical="center" wrapText="1"/>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vertical="center" wrapText="1"/>
      <protection locked="0"/>
    </xf>
    <xf numFmtId="165" fontId="10" fillId="2" borderId="0" xfId="1" applyNumberFormat="1" applyFont="1" applyFill="1" applyBorder="1" applyAlignment="1" applyProtection="1">
      <alignment horizontal="left" vertical="center" indent="4"/>
      <protection locked="0"/>
    </xf>
    <xf numFmtId="165" fontId="18" fillId="2" borderId="0" xfId="1" applyNumberFormat="1" applyFont="1" applyFill="1" applyBorder="1" applyAlignment="1" applyProtection="1">
      <alignment horizontal="left" vertical="center" indent="4"/>
      <protection locked="0"/>
    </xf>
    <xf numFmtId="0" fontId="10" fillId="2" borderId="0" xfId="0" applyFont="1" applyFill="1" applyAlignment="1" applyProtection="1">
      <alignment horizontal="left" vertical="center" indent="4"/>
      <protection locked="0"/>
    </xf>
    <xf numFmtId="1" fontId="10" fillId="2" borderId="0" xfId="0" applyNumberFormat="1" applyFont="1" applyFill="1" applyAlignment="1" applyProtection="1">
      <alignment horizontal="left" vertical="center" indent="4"/>
      <protection locked="0"/>
    </xf>
    <xf numFmtId="0" fontId="18" fillId="2" borderId="0" xfId="0" applyFont="1" applyFill="1" applyAlignment="1" applyProtection="1">
      <alignment horizontal="left" vertical="center" indent="4"/>
      <protection locked="0"/>
    </xf>
    <xf numFmtId="0" fontId="7" fillId="0" borderId="0" xfId="0" applyFont="1" applyAlignment="1" applyProtection="1">
      <alignment horizontal="left" vertical="center" indent="4"/>
      <protection locked="0"/>
    </xf>
    <xf numFmtId="0" fontId="45" fillId="0" borderId="0" xfId="0" applyFont="1" applyAlignment="1" applyProtection="1">
      <alignment vertical="center" wrapText="1"/>
      <protection locked="0"/>
    </xf>
    <xf numFmtId="0" fontId="50" fillId="0" borderId="0" xfId="0" applyFont="1" applyAlignment="1" applyProtection="1">
      <alignment horizontal="left" vertical="center"/>
      <protection locked="0"/>
    </xf>
    <xf numFmtId="0" fontId="18" fillId="0" borderId="0" xfId="0" applyFont="1" applyProtection="1">
      <protection locked="0"/>
    </xf>
    <xf numFmtId="165" fontId="18" fillId="0" borderId="0" xfId="1" applyNumberFormat="1" applyFont="1" applyFill="1" applyBorder="1" applyAlignment="1" applyProtection="1">
      <alignment vertical="center"/>
      <protection locked="0"/>
    </xf>
    <xf numFmtId="0" fontId="10" fillId="0" borderId="0" xfId="0" applyFont="1" applyAlignment="1" applyProtection="1">
      <alignment vertical="center"/>
      <protection locked="0"/>
    </xf>
    <xf numFmtId="1" fontId="10"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6" fillId="0" borderId="0" xfId="0" applyFont="1" applyAlignment="1" applyProtection="1">
      <alignment vertical="center"/>
      <protection locked="0"/>
    </xf>
    <xf numFmtId="43" fontId="7" fillId="0" borderId="8" xfId="0" applyNumberFormat="1" applyFont="1" applyBorder="1" applyAlignment="1" applyProtection="1">
      <alignment horizontal="center" vertical="center"/>
      <protection locked="0"/>
    </xf>
    <xf numFmtId="44" fontId="7" fillId="0" borderId="8" xfId="1" applyNumberFormat="1" applyFont="1" applyBorder="1" applyAlignment="1" applyProtection="1">
      <alignment horizontal="center" vertical="center"/>
      <protection locked="0"/>
    </xf>
    <xf numFmtId="165" fontId="10" fillId="0" borderId="0" xfId="1" applyNumberFormat="1" applyFont="1" applyFill="1" applyBorder="1" applyAlignment="1" applyProtection="1">
      <alignment vertical="center"/>
      <protection locked="0"/>
    </xf>
    <xf numFmtId="169" fontId="7" fillId="0" borderId="8" xfId="2" applyNumberFormat="1" applyFont="1" applyBorder="1" applyAlignment="1" applyProtection="1">
      <alignment horizontal="center" vertical="center"/>
      <protection locked="0"/>
    </xf>
    <xf numFmtId="168" fontId="18" fillId="0" borderId="0" xfId="1" applyNumberFormat="1" applyFont="1" applyFill="1" applyBorder="1" applyAlignment="1" applyProtection="1">
      <alignment vertical="center"/>
      <protection locked="0"/>
    </xf>
    <xf numFmtId="43" fontId="7" fillId="0" borderId="0" xfId="0" applyNumberFormat="1" applyFont="1" applyAlignment="1" applyProtection="1">
      <alignment horizontal="center" vertical="center"/>
      <protection locked="0"/>
    </xf>
    <xf numFmtId="169" fontId="7" fillId="0" borderId="0" xfId="2" applyNumberFormat="1" applyFont="1" applyBorder="1" applyAlignment="1" applyProtection="1">
      <alignment horizontal="center" vertical="center"/>
      <protection locked="0"/>
    </xf>
    <xf numFmtId="176" fontId="7" fillId="0" borderId="0" xfId="1" applyNumberFormat="1" applyFont="1" applyFill="1" applyBorder="1" applyAlignment="1" applyProtection="1">
      <alignment vertical="center"/>
      <protection locked="0"/>
    </xf>
    <xf numFmtId="0" fontId="0" fillId="0" borderId="0" xfId="0" applyAlignment="1" applyProtection="1">
      <alignment horizontal="center" wrapText="1"/>
      <protection locked="0"/>
    </xf>
    <xf numFmtId="0" fontId="10" fillId="5" borderId="55" xfId="0" applyFont="1" applyFill="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55" xfId="0" applyFont="1" applyBorder="1" applyProtection="1">
      <protection locked="0"/>
    </xf>
    <xf numFmtId="0" fontId="7" fillId="0" borderId="55" xfId="0" applyFont="1" applyBorder="1" applyAlignment="1" applyProtection="1">
      <alignment horizontal="center"/>
      <protection locked="0"/>
    </xf>
    <xf numFmtId="0" fontId="43" fillId="0" borderId="0" xfId="0" applyFont="1" applyProtection="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4" fontId="7" fillId="0" borderId="0" xfId="0" applyNumberFormat="1" applyFont="1" applyAlignment="1" applyProtection="1">
      <alignment horizontal="center"/>
      <protection locked="0"/>
    </xf>
    <xf numFmtId="0" fontId="6" fillId="2" borderId="0" xfId="0" applyFont="1" applyFill="1" applyAlignment="1" applyProtection="1">
      <alignment horizontal="left" vertical="center"/>
      <protection locked="0"/>
    </xf>
    <xf numFmtId="0" fontId="7" fillId="0" borderId="55" xfId="0" applyFont="1" applyBorder="1" applyAlignment="1" applyProtection="1">
      <alignment vertical="center"/>
      <protection locked="0"/>
    </xf>
    <xf numFmtId="0" fontId="10" fillId="0" borderId="55" xfId="0" applyFont="1" applyBorder="1" applyAlignment="1" applyProtection="1">
      <alignment horizontal="center"/>
      <protection locked="0"/>
    </xf>
    <xf numFmtId="0" fontId="10" fillId="0" borderId="57" xfId="0" applyFont="1" applyBorder="1" applyAlignment="1" applyProtection="1">
      <alignment horizontal="center"/>
      <protection locked="0"/>
    </xf>
    <xf numFmtId="0" fontId="10" fillId="0" borderId="55" xfId="0" applyFont="1" applyBorder="1" applyProtection="1">
      <protection locked="0"/>
    </xf>
    <xf numFmtId="0" fontId="10" fillId="0" borderId="55" xfId="0" applyFont="1" applyBorder="1" applyAlignment="1" applyProtection="1">
      <alignment vertical="center"/>
      <protection locked="0"/>
    </xf>
    <xf numFmtId="0" fontId="10" fillId="0" borderId="56" xfId="0" applyFont="1" applyBorder="1" applyProtection="1">
      <protection locked="0"/>
    </xf>
    <xf numFmtId="0" fontId="10" fillId="0" borderId="60" xfId="0" applyFont="1" applyBorder="1" applyProtection="1">
      <protection locked="0"/>
    </xf>
    <xf numFmtId="43" fontId="7" fillId="0" borderId="55" xfId="1" applyFont="1" applyBorder="1" applyAlignment="1" applyProtection="1">
      <alignment vertical="center"/>
      <protection locked="0"/>
    </xf>
    <xf numFmtId="0" fontId="7" fillId="0" borderId="57" xfId="0" applyFont="1" applyBorder="1" applyAlignment="1" applyProtection="1">
      <alignment vertical="center"/>
      <protection locked="0"/>
    </xf>
    <xf numFmtId="0" fontId="7" fillId="6" borderId="61" xfId="0" applyFont="1" applyFill="1" applyBorder="1" applyAlignment="1" applyProtection="1">
      <alignment vertical="center"/>
      <protection locked="0"/>
    </xf>
    <xf numFmtId="0" fontId="7" fillId="6" borderId="57" xfId="0" applyFont="1" applyFill="1" applyBorder="1" applyAlignment="1" applyProtection="1">
      <alignment vertical="center"/>
      <protection locked="0"/>
    </xf>
    <xf numFmtId="43" fontId="7" fillId="0" borderId="55" xfId="1" applyFont="1" applyBorder="1" applyProtection="1">
      <protection locked="0"/>
    </xf>
    <xf numFmtId="0" fontId="7" fillId="6" borderId="61" xfId="0" applyFont="1" applyFill="1" applyBorder="1" applyProtection="1">
      <protection locked="0"/>
    </xf>
    <xf numFmtId="0" fontId="7" fillId="6" borderId="57" xfId="0" applyFont="1" applyFill="1" applyBorder="1" applyProtection="1">
      <protection locked="0"/>
    </xf>
    <xf numFmtId="4" fontId="7" fillId="0" borderId="55" xfId="0" applyNumberFormat="1" applyFont="1" applyBorder="1" applyProtection="1">
      <protection locked="0"/>
    </xf>
    <xf numFmtId="0" fontId="39" fillId="0" borderId="0" xfId="0" applyFont="1" applyProtection="1">
      <protection locked="0"/>
    </xf>
    <xf numFmtId="0" fontId="39" fillId="0" borderId="0" xfId="0" applyFont="1" applyAlignment="1" applyProtection="1">
      <alignment horizontal="right" vertical="center"/>
      <protection locked="0"/>
    </xf>
    <xf numFmtId="4" fontId="39" fillId="0" borderId="0" xfId="0" applyNumberFormat="1" applyFont="1" applyProtection="1">
      <protection locked="0"/>
    </xf>
    <xf numFmtId="4" fontId="7" fillId="0" borderId="0" xfId="0" applyNumberFormat="1" applyFont="1" applyProtection="1">
      <protection locked="0"/>
    </xf>
    <xf numFmtId="0" fontId="10" fillId="0" borderId="55" xfId="0" applyFont="1" applyBorder="1" applyAlignment="1" applyProtection="1">
      <alignment horizontal="center" vertical="center"/>
      <protection locked="0"/>
    </xf>
    <xf numFmtId="0" fontId="10" fillId="6" borderId="55" xfId="0" applyFont="1" applyFill="1" applyBorder="1" applyAlignment="1" applyProtection="1">
      <alignment horizontal="right" vertical="center"/>
      <protection locked="0"/>
    </xf>
    <xf numFmtId="0" fontId="10" fillId="6" borderId="55" xfId="0" applyFont="1" applyFill="1" applyBorder="1" applyAlignment="1" applyProtection="1">
      <alignment horizontal="center" vertical="center"/>
      <protection locked="0"/>
    </xf>
    <xf numFmtId="0" fontId="10" fillId="6" borderId="55" xfId="0" applyFont="1" applyFill="1" applyBorder="1" applyAlignment="1" applyProtection="1">
      <alignment horizontal="right"/>
      <protection locked="0"/>
    </xf>
    <xf numFmtId="4" fontId="7" fillId="0" borderId="56" xfId="0" applyNumberFormat="1" applyFont="1" applyBorder="1" applyProtection="1">
      <protection locked="0"/>
    </xf>
    <xf numFmtId="4" fontId="2" fillId="0" borderId="56" xfId="0" applyNumberFormat="1" applyFont="1" applyBorder="1" applyProtection="1">
      <protection locked="0"/>
    </xf>
    <xf numFmtId="0" fontId="18" fillId="0" borderId="62" xfId="0" applyFont="1" applyBorder="1" applyProtection="1">
      <protection locked="0"/>
    </xf>
    <xf numFmtId="4" fontId="7" fillId="0" borderId="55" xfId="1" applyNumberFormat="1" applyFont="1" applyFill="1" applyBorder="1" applyProtection="1">
      <protection locked="0"/>
    </xf>
    <xf numFmtId="0" fontId="0" fillId="0" borderId="0" xfId="0" applyAlignment="1" applyProtection="1">
      <alignment vertical="center"/>
      <protection locked="0"/>
    </xf>
    <xf numFmtId="0" fontId="7" fillId="6" borderId="55" xfId="0" applyFont="1" applyFill="1" applyBorder="1" applyProtection="1">
      <protection locked="0"/>
    </xf>
    <xf numFmtId="0" fontId="10" fillId="0" borderId="0" xfId="0" applyFont="1" applyAlignment="1" applyProtection="1">
      <alignment horizontal="center"/>
      <protection locked="0"/>
    </xf>
    <xf numFmtId="0" fontId="10" fillId="0" borderId="57" xfId="0" applyFont="1" applyBorder="1" applyAlignment="1" applyProtection="1">
      <alignment vertical="center"/>
      <protection locked="0"/>
    </xf>
    <xf numFmtId="0" fontId="10" fillId="0" borderId="0" xfId="0" applyFont="1" applyProtection="1">
      <protection locked="0"/>
    </xf>
    <xf numFmtId="175" fontId="7" fillId="0" borderId="0" xfId="0" applyNumberFormat="1" applyFont="1" applyProtection="1">
      <protection locked="0"/>
    </xf>
    <xf numFmtId="4" fontId="0" fillId="0" borderId="0" xfId="0" applyNumberFormat="1" applyProtection="1">
      <protection locked="0"/>
    </xf>
    <xf numFmtId="0" fontId="6" fillId="0" borderId="0" xfId="0" applyFont="1" applyProtection="1">
      <protection locked="0"/>
    </xf>
    <xf numFmtId="0" fontId="43" fillId="0" borderId="0" xfId="0" applyFont="1"/>
    <xf numFmtId="0" fontId="39" fillId="0" borderId="0" xfId="0" applyFont="1"/>
    <xf numFmtId="0" fontId="54" fillId="6" borderId="8" xfId="0" applyFont="1" applyFill="1" applyBorder="1" applyAlignment="1">
      <alignment horizontal="center" vertical="center" wrapText="1"/>
    </xf>
    <xf numFmtId="0" fontId="55" fillId="0" borderId="8" xfId="0" applyFont="1" applyBorder="1" applyAlignment="1">
      <alignment horizontal="center" vertical="center"/>
    </xf>
    <xf numFmtId="0" fontId="56" fillId="0" borderId="8" xfId="4" applyFont="1" applyBorder="1" applyAlignment="1">
      <alignment horizontal="center" vertical="center"/>
    </xf>
    <xf numFmtId="0" fontId="10" fillId="0" borderId="88" xfId="0" applyFont="1" applyBorder="1" applyAlignment="1">
      <alignment vertical="center" wrapText="1"/>
    </xf>
    <xf numFmtId="0" fontId="10" fillId="0" borderId="88" xfId="0" applyFont="1" applyBorder="1" applyAlignment="1">
      <alignment horizontal="left" vertical="center" wrapText="1"/>
    </xf>
    <xf numFmtId="168" fontId="10" fillId="0" borderId="89" xfId="1" applyNumberFormat="1" applyFont="1" applyBorder="1"/>
    <xf numFmtId="0" fontId="10" fillId="0" borderId="89" xfId="0" applyFont="1" applyBorder="1" applyAlignment="1">
      <alignment horizontal="center"/>
    </xf>
    <xf numFmtId="0" fontId="10" fillId="0" borderId="90" xfId="0" applyFont="1" applyBorder="1" applyAlignment="1">
      <alignment horizontal="center"/>
    </xf>
    <xf numFmtId="169" fontId="10" fillId="0" borderId="89" xfId="2" applyNumberFormat="1" applyFont="1" applyBorder="1"/>
    <xf numFmtId="168" fontId="10" fillId="0" borderId="13" xfId="1" applyNumberFormat="1" applyFont="1" applyBorder="1"/>
    <xf numFmtId="168" fontId="10" fillId="0" borderId="89" xfId="1" applyNumberFormat="1" applyFont="1" applyBorder="1" applyAlignment="1">
      <alignment horizontal="center"/>
    </xf>
    <xf numFmtId="0" fontId="10" fillId="5" borderId="0" xfId="0" applyFont="1" applyFill="1" applyAlignment="1">
      <alignment vertical="center"/>
    </xf>
    <xf numFmtId="0" fontId="0" fillId="5" borderId="0" xfId="0" applyFill="1" applyAlignment="1">
      <alignment vertical="center"/>
    </xf>
    <xf numFmtId="0" fontId="7" fillId="5" borderId="0" xfId="0" applyFont="1" applyFill="1" applyAlignment="1">
      <alignment vertical="center"/>
    </xf>
    <xf numFmtId="0" fontId="3" fillId="9" borderId="102" xfId="0" applyFont="1" applyFill="1" applyBorder="1" applyAlignment="1">
      <alignment horizontal="center" vertical="center" wrapText="1"/>
    </xf>
    <xf numFmtId="171" fontId="2" fillId="0" borderId="81" xfId="0" applyNumberFormat="1" applyFont="1" applyBorder="1" applyAlignment="1">
      <alignment horizontal="center" vertical="center" wrapText="1"/>
    </xf>
    <xf numFmtId="0" fontId="3" fillId="9" borderId="101" xfId="0" applyFont="1" applyFill="1" applyBorder="1" applyAlignment="1">
      <alignment horizontal="center" vertical="center" wrapText="1"/>
    </xf>
    <xf numFmtId="0" fontId="2" fillId="0" borderId="103" xfId="0" applyFont="1" applyBorder="1" applyAlignment="1">
      <alignment horizontal="center" vertical="center" wrapText="1"/>
    </xf>
    <xf numFmtId="0" fontId="58" fillId="0" borderId="0" xfId="0" applyFont="1" applyAlignment="1">
      <alignment horizontal="center"/>
    </xf>
    <xf numFmtId="0" fontId="48" fillId="0" borderId="0" xfId="0" applyFont="1" applyAlignment="1">
      <alignment vertical="center"/>
    </xf>
    <xf numFmtId="0" fontId="58" fillId="0" borderId="0" xfId="0" applyFont="1"/>
    <xf numFmtId="0" fontId="58" fillId="0" borderId="0" xfId="0" applyFont="1" applyAlignment="1">
      <alignment horizontal="center" wrapText="1"/>
    </xf>
    <xf numFmtId="0" fontId="58" fillId="0" borderId="0" xfId="0" applyFont="1" applyAlignment="1">
      <alignment horizontal="center" vertical="center"/>
    </xf>
    <xf numFmtId="0" fontId="58" fillId="0" borderId="0" xfId="0" applyFont="1" applyAlignment="1">
      <alignment vertical="center"/>
    </xf>
    <xf numFmtId="0" fontId="45" fillId="0" borderId="0" xfId="0" applyFont="1" applyAlignment="1">
      <alignment horizontal="left" vertical="center"/>
    </xf>
    <xf numFmtId="0" fontId="45" fillId="0" borderId="0" xfId="0" applyFont="1" applyAlignment="1" applyProtection="1">
      <alignment horizontal="left" vertical="center" wrapText="1"/>
      <protection locked="0"/>
    </xf>
    <xf numFmtId="0" fontId="6" fillId="6" borderId="104" xfId="0" applyFont="1" applyFill="1" applyBorder="1" applyAlignment="1">
      <alignment vertical="center" wrapText="1"/>
    </xf>
    <xf numFmtId="0" fontId="2" fillId="6" borderId="105" xfId="0" applyFont="1" applyFill="1" applyBorder="1" applyAlignment="1">
      <alignment horizontal="center" vertical="center"/>
    </xf>
    <xf numFmtId="0" fontId="7" fillId="6" borderId="105" xfId="0" applyFont="1" applyFill="1" applyBorder="1" applyAlignment="1">
      <alignment horizontal="center" vertical="center"/>
    </xf>
    <xf numFmtId="0" fontId="7" fillId="6" borderId="105" xfId="0" applyFont="1" applyFill="1" applyBorder="1" applyAlignment="1">
      <alignment vertical="center"/>
    </xf>
    <xf numFmtId="0" fontId="7" fillId="6" borderId="106" xfId="0" applyFont="1" applyFill="1" applyBorder="1" applyAlignment="1">
      <alignment vertical="center"/>
    </xf>
    <xf numFmtId="0" fontId="2" fillId="6" borderId="107" xfId="0" applyFont="1" applyFill="1" applyBorder="1" applyAlignment="1">
      <alignment horizontal="center" vertical="center"/>
    </xf>
    <xf numFmtId="0" fontId="7" fillId="6" borderId="109" xfId="0" applyFont="1" applyFill="1" applyBorder="1" applyAlignment="1">
      <alignment vertical="center"/>
    </xf>
    <xf numFmtId="0" fontId="7" fillId="6" borderId="108" xfId="0" applyFont="1" applyFill="1" applyBorder="1" applyAlignment="1">
      <alignment vertical="center"/>
    </xf>
    <xf numFmtId="0" fontId="10" fillId="0" borderId="110" xfId="0" applyFont="1" applyBorder="1" applyAlignment="1">
      <alignment vertical="center" wrapText="1"/>
    </xf>
    <xf numFmtId="0" fontId="3" fillId="0" borderId="111" xfId="0" applyFont="1" applyBorder="1" applyAlignment="1">
      <alignment horizontal="center" vertical="center"/>
    </xf>
    <xf numFmtId="0" fontId="10" fillId="0" borderId="111" xfId="0" applyFont="1" applyBorder="1" applyAlignment="1">
      <alignment horizontal="center" vertical="center"/>
    </xf>
    <xf numFmtId="0" fontId="10" fillId="0" borderId="112" xfId="0" applyFont="1" applyBorder="1" applyAlignment="1">
      <alignment horizontal="center" vertical="center" wrapText="1"/>
    </xf>
    <xf numFmtId="0" fontId="2" fillId="0" borderId="113" xfId="0" applyFont="1" applyBorder="1" applyAlignment="1">
      <alignment vertical="center" wrapText="1"/>
    </xf>
    <xf numFmtId="0" fontId="7" fillId="0" borderId="114" xfId="0" applyFont="1" applyBorder="1" applyAlignment="1">
      <alignment horizontal="center" vertical="center" wrapText="1"/>
    </xf>
    <xf numFmtId="0" fontId="7" fillId="0" borderId="113" xfId="0" applyFont="1" applyBorder="1" applyAlignment="1">
      <alignment vertical="center" wrapText="1"/>
    </xf>
    <xf numFmtId="0" fontId="7" fillId="2" borderId="115" xfId="0" applyFont="1" applyFill="1" applyBorder="1" applyAlignment="1">
      <alignment vertical="center" wrapText="1"/>
    </xf>
    <xf numFmtId="0" fontId="2" fillId="2" borderId="116" xfId="0" applyFont="1" applyFill="1" applyBorder="1" applyAlignment="1">
      <alignment horizontal="center" vertical="center"/>
    </xf>
    <xf numFmtId="43" fontId="7" fillId="2" borderId="116" xfId="1" applyFont="1" applyFill="1" applyBorder="1" applyAlignment="1">
      <alignment horizontal="center" vertical="center"/>
    </xf>
    <xf numFmtId="0" fontId="2" fillId="2" borderId="117" xfId="0" applyFont="1" applyFill="1" applyBorder="1" applyAlignment="1">
      <alignment horizontal="center" vertical="center"/>
    </xf>
    <xf numFmtId="43" fontId="10" fillId="6" borderId="118" xfId="1" applyFont="1" applyFill="1" applyBorder="1" applyAlignment="1">
      <alignment vertical="center" wrapText="1"/>
    </xf>
    <xf numFmtId="0" fontId="2" fillId="6" borderId="119" xfId="1" applyNumberFormat="1" applyFont="1" applyFill="1" applyBorder="1" applyAlignment="1">
      <alignment horizontal="center" vertical="center"/>
    </xf>
    <xf numFmtId="43" fontId="2" fillId="6" borderId="119" xfId="1" applyFont="1" applyFill="1" applyBorder="1" applyAlignment="1">
      <alignment horizontal="right" vertical="center"/>
    </xf>
    <xf numFmtId="0" fontId="2" fillId="6" borderId="105" xfId="0" applyFont="1" applyFill="1" applyBorder="1" applyAlignment="1">
      <alignment vertical="center"/>
    </xf>
    <xf numFmtId="0" fontId="2" fillId="6" borderId="106" xfId="0" applyFont="1" applyFill="1" applyBorder="1" applyAlignment="1">
      <alignment vertical="center"/>
    </xf>
    <xf numFmtId="0" fontId="10" fillId="0" borderId="121" xfId="0" applyFont="1" applyBorder="1" applyAlignment="1">
      <alignment vertical="center" wrapText="1"/>
    </xf>
    <xf numFmtId="0" fontId="11" fillId="0" borderId="114" xfId="0" applyFont="1" applyBorder="1" applyAlignment="1">
      <alignment horizontal="center" vertical="center" wrapText="1"/>
    </xf>
    <xf numFmtId="0" fontId="7" fillId="2" borderId="122" xfId="0" applyFont="1" applyFill="1" applyBorder="1" applyAlignment="1">
      <alignment vertical="center" wrapText="1"/>
    </xf>
    <xf numFmtId="0" fontId="2" fillId="2" borderId="123" xfId="0" applyFont="1" applyFill="1" applyBorder="1" applyAlignment="1">
      <alignment horizontal="center" vertical="center"/>
    </xf>
    <xf numFmtId="43" fontId="2" fillId="2" borderId="123" xfId="1" applyFont="1" applyFill="1" applyBorder="1" applyAlignment="1">
      <alignment horizontal="center" vertical="center"/>
    </xf>
    <xf numFmtId="0" fontId="2" fillId="2" borderId="124" xfId="0" applyFont="1" applyFill="1" applyBorder="1" applyAlignment="1">
      <alignment horizontal="center" vertical="center"/>
    </xf>
    <xf numFmtId="43" fontId="2" fillId="2" borderId="116" xfId="1" applyFont="1" applyFill="1" applyBorder="1" applyAlignment="1">
      <alignment horizontal="center" vertical="center"/>
    </xf>
    <xf numFmtId="9" fontId="2" fillId="0" borderId="114" xfId="1" applyNumberFormat="1" applyFont="1" applyBorder="1" applyAlignment="1">
      <alignment horizontal="center" vertical="center" wrapText="1"/>
    </xf>
    <xf numFmtId="0" fontId="7" fillId="2" borderId="113" xfId="0" applyFont="1" applyFill="1" applyBorder="1" applyAlignment="1">
      <alignment vertical="center" wrapText="1"/>
    </xf>
    <xf numFmtId="0" fontId="2" fillId="2" borderId="114" xfId="0" applyFont="1" applyFill="1" applyBorder="1" applyAlignment="1">
      <alignment horizontal="center" vertical="center"/>
    </xf>
    <xf numFmtId="43" fontId="2" fillId="6" borderId="125" xfId="1" applyFont="1" applyFill="1" applyBorder="1" applyAlignment="1">
      <alignment horizontal="right" vertical="center"/>
    </xf>
    <xf numFmtId="0" fontId="3" fillId="0" borderId="126" xfId="0" applyFont="1" applyBorder="1" applyAlignment="1">
      <alignment horizontal="center" vertical="center"/>
    </xf>
    <xf numFmtId="0" fontId="10" fillId="0" borderId="126" xfId="0" applyFont="1" applyBorder="1" applyAlignment="1">
      <alignment horizontal="center" vertical="center"/>
    </xf>
    <xf numFmtId="0" fontId="10" fillId="0" borderId="127" xfId="0" applyFont="1" applyBorder="1" applyAlignment="1">
      <alignment horizontal="center" vertical="center"/>
    </xf>
    <xf numFmtId="0" fontId="10" fillId="0" borderId="128" xfId="0" applyFont="1" applyBorder="1" applyAlignment="1">
      <alignment horizontal="center" vertical="center" wrapText="1"/>
    </xf>
    <xf numFmtId="0" fontId="7" fillId="0" borderId="129" xfId="0" applyFont="1" applyBorder="1" applyAlignment="1">
      <alignment vertical="center" wrapText="1"/>
    </xf>
    <xf numFmtId="0" fontId="7" fillId="0" borderId="130" xfId="0" applyFont="1" applyBorder="1" applyAlignment="1">
      <alignment horizontal="center" vertical="center" wrapText="1"/>
    </xf>
    <xf numFmtId="0" fontId="7" fillId="2" borderId="131" xfId="1" applyNumberFormat="1" applyFont="1" applyFill="1" applyBorder="1" applyAlignment="1">
      <alignment vertical="center" wrapText="1"/>
    </xf>
    <xf numFmtId="0" fontId="2" fillId="2" borderId="132" xfId="1" applyNumberFormat="1" applyFont="1" applyFill="1" applyBorder="1" applyAlignment="1">
      <alignment horizontal="center" vertical="center"/>
    </xf>
    <xf numFmtId="43" fontId="2" fillId="2" borderId="132" xfId="1" applyFont="1" applyFill="1" applyBorder="1" applyAlignment="1">
      <alignment horizontal="center" vertical="center"/>
    </xf>
    <xf numFmtId="43" fontId="2" fillId="2" borderId="133" xfId="1" applyFont="1" applyFill="1" applyBorder="1" applyAlignment="1">
      <alignment horizontal="center" vertical="center"/>
    </xf>
    <xf numFmtId="166" fontId="7" fillId="0" borderId="130" xfId="0" applyNumberFormat="1" applyFont="1" applyBorder="1" applyAlignment="1">
      <alignment horizontal="center" vertical="center" wrapText="1"/>
    </xf>
    <xf numFmtId="169" fontId="7" fillId="0" borderId="130" xfId="0" applyNumberFormat="1" applyFont="1" applyBorder="1" applyAlignment="1">
      <alignment horizontal="center" vertical="center" wrapText="1"/>
    </xf>
    <xf numFmtId="0" fontId="7" fillId="2" borderId="129" xfId="0" applyFont="1" applyFill="1" applyBorder="1" applyAlignment="1">
      <alignment vertical="center" wrapText="1"/>
    </xf>
    <xf numFmtId="0" fontId="2" fillId="2" borderId="130" xfId="0" applyFont="1" applyFill="1" applyBorder="1" applyAlignment="1">
      <alignment horizontal="center" vertical="center"/>
    </xf>
    <xf numFmtId="0" fontId="7" fillId="2" borderId="131" xfId="0" applyFont="1" applyFill="1" applyBorder="1" applyAlignment="1">
      <alignment vertical="center" wrapText="1"/>
    </xf>
    <xf numFmtId="0" fontId="2" fillId="2" borderId="132" xfId="0" applyFont="1" applyFill="1" applyBorder="1" applyAlignment="1">
      <alignment horizontal="center" vertical="center"/>
    </xf>
    <xf numFmtId="43" fontId="2" fillId="2" borderId="134" xfId="1" applyFont="1" applyFill="1" applyBorder="1" applyAlignment="1">
      <alignment horizontal="center" vertical="center"/>
    </xf>
    <xf numFmtId="0" fontId="2" fillId="2" borderId="133" xfId="0" applyFont="1" applyFill="1" applyBorder="1" applyAlignment="1">
      <alignment horizontal="center" vertical="center"/>
    </xf>
    <xf numFmtId="0" fontId="45" fillId="0" borderId="0" xfId="0" applyFont="1" applyAlignment="1">
      <alignment horizontal="left" vertical="center" indent="1"/>
    </xf>
    <xf numFmtId="0" fontId="10" fillId="9" borderId="140" xfId="0" applyFont="1" applyFill="1" applyBorder="1" applyAlignment="1">
      <alignment horizontal="center" vertical="center"/>
    </xf>
    <xf numFmtId="0" fontId="39" fillId="0" borderId="141" xfId="0" applyFont="1" applyBorder="1" applyAlignment="1">
      <alignment horizontal="right" vertical="center"/>
    </xf>
    <xf numFmtId="174" fontId="7" fillId="0" borderId="140" xfId="1" applyNumberFormat="1" applyFont="1" applyFill="1" applyBorder="1" applyAlignment="1">
      <alignment horizontal="center" vertical="center"/>
    </xf>
    <xf numFmtId="173" fontId="7" fillId="0" borderId="140" xfId="1" applyNumberFormat="1" applyFont="1" applyFill="1" applyBorder="1" applyAlignment="1">
      <alignment horizontal="center" vertical="center"/>
    </xf>
    <xf numFmtId="2" fontId="7" fillId="0" borderId="140" xfId="1" applyNumberFormat="1" applyFont="1" applyFill="1" applyBorder="1" applyAlignment="1">
      <alignment horizontal="center" vertical="center"/>
    </xf>
    <xf numFmtId="0" fontId="39" fillId="0" borderId="142" xfId="0" applyFont="1" applyBorder="1" applyAlignment="1">
      <alignment horizontal="right" vertical="center"/>
    </xf>
    <xf numFmtId="2" fontId="7" fillId="0" borderId="143" xfId="1" applyNumberFormat="1" applyFont="1" applyFill="1" applyBorder="1" applyAlignment="1">
      <alignment horizontal="center" vertical="center"/>
    </xf>
    <xf numFmtId="2" fontId="7" fillId="0" borderId="144" xfId="1" applyNumberFormat="1" applyFont="1" applyFill="1" applyBorder="1" applyAlignment="1">
      <alignment horizontal="center" vertical="center"/>
    </xf>
    <xf numFmtId="0" fontId="10" fillId="9" borderId="145" xfId="0" applyFont="1" applyFill="1" applyBorder="1" applyAlignment="1">
      <alignment horizontal="center" vertical="center"/>
    </xf>
    <xf numFmtId="0" fontId="10" fillId="9" borderId="146" xfId="0" applyFont="1" applyFill="1" applyBorder="1" applyAlignment="1">
      <alignment horizontal="center" vertical="center"/>
    </xf>
    <xf numFmtId="0" fontId="10" fillId="9" borderId="147" xfId="0" applyFont="1" applyFill="1" applyBorder="1" applyAlignment="1">
      <alignment horizontal="center" vertical="center"/>
    </xf>
    <xf numFmtId="43" fontId="7" fillId="0" borderId="140" xfId="1" applyFont="1" applyBorder="1" applyAlignment="1">
      <alignment vertical="center"/>
    </xf>
    <xf numFmtId="0" fontId="7" fillId="0" borderId="143" xfId="0" applyFont="1" applyBorder="1" applyAlignment="1">
      <alignment horizontal="center" vertical="center"/>
    </xf>
    <xf numFmtId="0" fontId="2" fillId="0" borderId="143" xfId="0" applyFont="1" applyBorder="1" applyAlignment="1">
      <alignment horizontal="center" vertical="center"/>
    </xf>
    <xf numFmtId="0" fontId="7" fillId="0" borderId="143" xfId="0" applyFont="1" applyBorder="1" applyAlignment="1">
      <alignment vertical="center"/>
    </xf>
    <xf numFmtId="43" fontId="7" fillId="0" borderId="144" xfId="1" applyFont="1" applyBorder="1" applyAlignment="1">
      <alignment vertical="center"/>
    </xf>
    <xf numFmtId="0" fontId="7" fillId="6" borderId="150" xfId="0" applyFont="1" applyFill="1" applyBorder="1" applyAlignment="1">
      <alignment horizontal="center" vertical="center"/>
    </xf>
    <xf numFmtId="0" fontId="10" fillId="0" borderId="153" xfId="0" applyFont="1" applyBorder="1" applyAlignment="1">
      <alignment horizontal="left" vertical="center"/>
    </xf>
    <xf numFmtId="165" fontId="10" fillId="0" borderId="145" xfId="1" applyNumberFormat="1" applyFont="1" applyFill="1" applyBorder="1" applyAlignment="1">
      <alignment horizontal="center" vertical="center"/>
    </xf>
    <xf numFmtId="165" fontId="3" fillId="0" borderId="145" xfId="1" applyNumberFormat="1" applyFont="1" applyFill="1" applyBorder="1" applyAlignment="1">
      <alignment horizontal="center" vertical="center"/>
    </xf>
    <xf numFmtId="1" fontId="10" fillId="0" borderId="145" xfId="0" applyNumberFormat="1" applyFont="1" applyBorder="1" applyAlignment="1">
      <alignment horizontal="center" vertical="center"/>
    </xf>
    <xf numFmtId="0" fontId="10" fillId="0" borderId="145" xfId="0" applyFont="1" applyBorder="1" applyAlignment="1">
      <alignment horizontal="center" vertical="center"/>
    </xf>
    <xf numFmtId="9" fontId="10" fillId="0" borderId="146" xfId="2" applyFont="1" applyFill="1" applyBorder="1" applyAlignment="1">
      <alignment horizontal="center" vertical="center"/>
    </xf>
    <xf numFmtId="9" fontId="10" fillId="0" borderId="147" xfId="2" applyFont="1" applyFill="1" applyBorder="1" applyAlignment="1">
      <alignment horizontal="center" vertical="center" wrapText="1"/>
    </xf>
    <xf numFmtId="0" fontId="7" fillId="0" borderId="141" xfId="0" applyFont="1" applyBorder="1" applyAlignment="1">
      <alignment vertical="center"/>
    </xf>
    <xf numFmtId="168" fontId="7" fillId="0" borderId="140" xfId="1" applyNumberFormat="1" applyFont="1" applyFill="1" applyBorder="1" applyAlignment="1">
      <alignment horizontal="center" vertical="center" wrapText="1"/>
    </xf>
    <xf numFmtId="164" fontId="7" fillId="0" borderId="140" xfId="2" applyNumberFormat="1" applyFont="1" applyFill="1" applyBorder="1" applyAlignment="1">
      <alignment horizontal="center" vertical="center" wrapText="1"/>
    </xf>
    <xf numFmtId="0" fontId="19" fillId="7" borderId="141" xfId="0" applyFont="1" applyFill="1" applyBorder="1" applyAlignment="1">
      <alignment vertical="center"/>
    </xf>
    <xf numFmtId="164" fontId="7" fillId="7" borderId="140" xfId="2" applyNumberFormat="1" applyFont="1" applyFill="1" applyBorder="1" applyAlignment="1">
      <alignment horizontal="center" vertical="center" wrapText="1"/>
    </xf>
    <xf numFmtId="165" fontId="7" fillId="0" borderId="140" xfId="1" applyNumberFormat="1" applyFont="1" applyFill="1" applyBorder="1" applyAlignment="1">
      <alignment horizontal="center" vertical="center" wrapText="1"/>
    </xf>
    <xf numFmtId="43" fontId="7" fillId="0" borderId="140" xfId="1" applyFont="1" applyFill="1" applyBorder="1" applyAlignment="1">
      <alignment horizontal="center" vertical="center" wrapText="1"/>
    </xf>
    <xf numFmtId="0" fontId="7" fillId="2" borderId="142" xfId="0" applyFont="1" applyFill="1" applyBorder="1" applyAlignment="1">
      <alignment vertical="center"/>
    </xf>
    <xf numFmtId="0" fontId="7" fillId="2" borderId="143" xfId="0" applyFont="1" applyFill="1" applyBorder="1" applyAlignment="1">
      <alignment horizontal="center" vertical="center"/>
    </xf>
    <xf numFmtId="43" fontId="7" fillId="2" borderId="143" xfId="1" applyFont="1" applyFill="1" applyBorder="1" applyAlignment="1">
      <alignment vertical="center"/>
    </xf>
    <xf numFmtId="43" fontId="7" fillId="2" borderId="154" xfId="1" applyFont="1" applyFill="1" applyBorder="1" applyAlignment="1">
      <alignment vertical="center"/>
    </xf>
    <xf numFmtId="43" fontId="7" fillId="2" borderId="144" xfId="1" applyFont="1" applyFill="1" applyBorder="1" applyAlignment="1">
      <alignment horizontal="center" vertical="center" wrapText="1"/>
    </xf>
    <xf numFmtId="0" fontId="10" fillId="6" borderId="155" xfId="0" applyFont="1" applyFill="1" applyBorder="1" applyAlignment="1">
      <alignment vertical="center"/>
    </xf>
    <xf numFmtId="43" fontId="7" fillId="6" borderId="150" xfId="1" applyFont="1" applyFill="1" applyBorder="1" applyAlignment="1">
      <alignment vertical="center"/>
    </xf>
    <xf numFmtId="43" fontId="7" fillId="6" borderId="151" xfId="1" applyFont="1" applyFill="1" applyBorder="1" applyAlignment="1">
      <alignment vertical="center"/>
    </xf>
    <xf numFmtId="43" fontId="7" fillId="6" borderId="152" xfId="1" applyFont="1" applyFill="1" applyBorder="1" applyAlignment="1">
      <alignment horizontal="center" vertical="center" wrapText="1"/>
    </xf>
    <xf numFmtId="0" fontId="10" fillId="9" borderId="113" xfId="0" applyFont="1" applyFill="1" applyBorder="1" applyAlignment="1">
      <alignment horizontal="right" vertical="center" wrapText="1"/>
    </xf>
    <xf numFmtId="0" fontId="7" fillId="0" borderId="113" xfId="0" applyFont="1" applyBorder="1" applyAlignment="1">
      <alignment horizontal="right" vertical="center" wrapText="1"/>
    </xf>
    <xf numFmtId="0" fontId="2" fillId="0" borderId="156" xfId="0" applyFont="1" applyBorder="1" applyAlignment="1">
      <alignment horizontal="center" vertical="center"/>
    </xf>
    <xf numFmtId="2" fontId="2" fillId="0" borderId="157" xfId="0" applyNumberFormat="1" applyFont="1" applyBorder="1" applyAlignment="1">
      <alignment horizontal="right" vertical="center"/>
    </xf>
    <xf numFmtId="2" fontId="2" fillId="0" borderId="114" xfId="0" applyNumberFormat="1" applyFont="1" applyBorder="1" applyAlignment="1">
      <alignment horizontal="right" vertical="center"/>
    </xf>
    <xf numFmtId="43" fontId="2" fillId="0" borderId="157" xfId="1" applyFont="1" applyBorder="1" applyAlignment="1">
      <alignment horizontal="right" vertical="center"/>
    </xf>
    <xf numFmtId="43" fontId="2" fillId="0" borderId="114" xfId="1" applyFont="1" applyBorder="1" applyAlignment="1">
      <alignment horizontal="right" vertical="center"/>
    </xf>
    <xf numFmtId="0" fontId="7" fillId="0" borderId="115" xfId="0" applyFont="1" applyBorder="1" applyAlignment="1">
      <alignment horizontal="right" vertical="center" wrapText="1"/>
    </xf>
    <xf numFmtId="168" fontId="7" fillId="0" borderId="116" xfId="1" applyNumberFormat="1" applyFont="1" applyFill="1" applyBorder="1" applyAlignment="1">
      <alignment vertical="center"/>
    </xf>
    <xf numFmtId="169" fontId="2" fillId="0" borderId="116" xfId="2" applyNumberFormat="1" applyFont="1" applyFill="1" applyBorder="1" applyAlignment="1">
      <alignment vertical="center"/>
    </xf>
    <xf numFmtId="43" fontId="2" fillId="0" borderId="117" xfId="1" applyFont="1" applyBorder="1" applyAlignment="1">
      <alignment horizontal="right" vertical="center"/>
    </xf>
    <xf numFmtId="0" fontId="10" fillId="9" borderId="135" xfId="0" applyFont="1" applyFill="1" applyBorder="1" applyAlignment="1">
      <alignment vertical="center" wrapText="1"/>
    </xf>
    <xf numFmtId="0" fontId="10" fillId="9" borderId="158" xfId="0" applyFont="1" applyFill="1" applyBorder="1" applyAlignment="1">
      <alignment horizontal="center" vertical="center"/>
    </xf>
    <xf numFmtId="0" fontId="10" fillId="9" borderId="159" xfId="0" applyFont="1" applyFill="1" applyBorder="1" applyAlignment="1">
      <alignment horizontal="center" vertical="center"/>
    </xf>
    <xf numFmtId="1" fontId="7" fillId="0" borderId="114" xfId="0" applyNumberFormat="1" applyFont="1" applyBorder="1" applyAlignment="1">
      <alignment horizontal="center" vertical="center"/>
    </xf>
    <xf numFmtId="0" fontId="7" fillId="0" borderId="115" xfId="0" applyFont="1" applyBorder="1" applyAlignment="1">
      <alignment vertical="center" wrapText="1"/>
    </xf>
    <xf numFmtId="0" fontId="7" fillId="0" borderId="116" xfId="0" applyFont="1" applyBorder="1" applyAlignment="1">
      <alignment horizontal="center" vertical="center"/>
    </xf>
    <xf numFmtId="1" fontId="7" fillId="0" borderId="117" xfId="0" applyNumberFormat="1" applyFont="1" applyBorder="1" applyAlignment="1">
      <alignment horizontal="center" vertical="center"/>
    </xf>
    <xf numFmtId="0" fontId="10" fillId="9" borderId="110" xfId="0" applyFont="1" applyFill="1" applyBorder="1" applyAlignment="1">
      <alignment vertical="center" wrapText="1"/>
    </xf>
    <xf numFmtId="0" fontId="10" fillId="9" borderId="160" xfId="0" applyFont="1" applyFill="1" applyBorder="1" applyAlignment="1">
      <alignment horizontal="center" vertical="center"/>
    </xf>
    <xf numFmtId="0" fontId="10" fillId="9" borderId="161" xfId="0" applyFont="1" applyFill="1" applyBorder="1" applyAlignment="1">
      <alignment horizontal="center" vertical="center"/>
    </xf>
    <xf numFmtId="0" fontId="7" fillId="0" borderId="162" xfId="0" applyFont="1" applyBorder="1" applyAlignment="1">
      <alignment vertical="center" wrapText="1"/>
    </xf>
    <xf numFmtId="165" fontId="7" fillId="0" borderId="156" xfId="1" applyNumberFormat="1" applyFont="1" applyBorder="1" applyAlignment="1">
      <alignment vertical="center"/>
    </xf>
    <xf numFmtId="0" fontId="2" fillId="0" borderId="162" xfId="0" applyFont="1" applyBorder="1" applyAlignment="1">
      <alignment vertical="center" wrapText="1"/>
    </xf>
    <xf numFmtId="165" fontId="2" fillId="0" borderId="156" xfId="1" applyNumberFormat="1" applyFont="1" applyBorder="1" applyAlignment="1">
      <alignment vertical="center"/>
    </xf>
    <xf numFmtId="0" fontId="7" fillId="0" borderId="163" xfId="0" applyFont="1" applyBorder="1" applyAlignment="1">
      <alignment vertical="center" wrapText="1"/>
    </xf>
    <xf numFmtId="0" fontId="7" fillId="0" borderId="164" xfId="0" applyFont="1" applyBorder="1" applyAlignment="1">
      <alignment horizontal="center" vertical="center" wrapText="1"/>
    </xf>
    <xf numFmtId="165" fontId="7" fillId="0" borderId="165" xfId="1" applyNumberFormat="1" applyFont="1" applyBorder="1" applyAlignment="1">
      <alignment vertical="center"/>
    </xf>
    <xf numFmtId="0" fontId="10" fillId="0" borderId="113" xfId="0" applyFont="1" applyBorder="1" applyAlignment="1">
      <alignment vertical="center" wrapText="1"/>
    </xf>
    <xf numFmtId="0" fontId="10" fillId="0" borderId="114" xfId="0" applyFont="1" applyBorder="1" applyAlignment="1">
      <alignment horizontal="center" vertical="center" wrapText="1"/>
    </xf>
    <xf numFmtId="171" fontId="7" fillId="0" borderId="140" xfId="1" applyNumberFormat="1" applyFont="1" applyBorder="1" applyAlignment="1">
      <alignment horizontal="right" vertical="center"/>
    </xf>
    <xf numFmtId="171" fontId="7" fillId="0" borderId="140" xfId="0" applyNumberFormat="1" applyFont="1" applyBorder="1" applyAlignment="1">
      <alignment horizontal="right" vertical="center"/>
    </xf>
    <xf numFmtId="0" fontId="7" fillId="0" borderId="142" xfId="0" applyFont="1" applyBorder="1" applyAlignment="1">
      <alignment vertical="center"/>
    </xf>
    <xf numFmtId="171" fontId="7" fillId="0" borderId="143" xfId="0" applyNumberFormat="1" applyFont="1" applyBorder="1" applyAlignment="1">
      <alignment horizontal="right" vertical="center"/>
    </xf>
    <xf numFmtId="169" fontId="7" fillId="0" borderId="143" xfId="2" applyNumberFormat="1" applyFont="1" applyBorder="1" applyAlignment="1">
      <alignment horizontal="center" vertical="center"/>
    </xf>
    <xf numFmtId="171" fontId="7" fillId="0" borderId="144" xfId="0" applyNumberFormat="1" applyFont="1" applyBorder="1" applyAlignment="1">
      <alignment horizontal="right" vertical="center"/>
    </xf>
    <xf numFmtId="165" fontId="3" fillId="9" borderId="155" xfId="1" applyNumberFormat="1" applyFont="1" applyFill="1" applyBorder="1" applyAlignment="1">
      <alignment horizontal="right" vertical="center"/>
    </xf>
    <xf numFmtId="165" fontId="7" fillId="0" borderId="150" xfId="1" applyNumberFormat="1" applyFont="1" applyFill="1" applyBorder="1" applyAlignment="1">
      <alignment horizontal="right" vertical="center"/>
    </xf>
    <xf numFmtId="43" fontId="3" fillId="9" borderId="150" xfId="1" applyFont="1" applyFill="1" applyBorder="1" applyAlignment="1">
      <alignment horizontal="right" vertical="center" wrapText="1"/>
    </xf>
    <xf numFmtId="43" fontId="7" fillId="0" borderId="150" xfId="1" applyFont="1" applyFill="1" applyBorder="1" applyAlignment="1">
      <alignment horizontal="right" vertical="center"/>
    </xf>
    <xf numFmtId="43" fontId="10" fillId="9" borderId="150" xfId="1" applyFont="1" applyFill="1" applyBorder="1" applyAlignment="1">
      <alignment horizontal="right" vertical="center" wrapText="1"/>
    </xf>
    <xf numFmtId="43" fontId="10" fillId="0" borderId="152" xfId="1" applyFont="1" applyFill="1" applyBorder="1" applyAlignment="1">
      <alignment horizontal="right" vertical="center"/>
    </xf>
    <xf numFmtId="0" fontId="6" fillId="6" borderId="118" xfId="0" applyFont="1" applyFill="1" applyBorder="1" applyAlignment="1">
      <alignment vertical="center" wrapText="1"/>
    </xf>
    <xf numFmtId="0" fontId="2" fillId="6" borderId="168" xfId="0" applyFont="1" applyFill="1" applyBorder="1" applyAlignment="1">
      <alignment horizontal="center" vertical="center"/>
    </xf>
    <xf numFmtId="0" fontId="7" fillId="6" borderId="168" xfId="0" applyFont="1" applyFill="1" applyBorder="1" applyAlignment="1">
      <alignment horizontal="center" vertical="center"/>
    </xf>
    <xf numFmtId="0" fontId="10" fillId="6" borderId="168" xfId="0" applyFont="1" applyFill="1" applyBorder="1" applyAlignment="1">
      <alignment vertical="center"/>
    </xf>
    <xf numFmtId="0" fontId="10" fillId="6" borderId="120" xfId="0" applyFont="1" applyFill="1" applyBorder="1" applyAlignment="1">
      <alignment horizontal="center" vertical="center" wrapText="1"/>
    </xf>
    <xf numFmtId="0" fontId="6" fillId="6" borderId="118" xfId="0" applyFont="1" applyFill="1" applyBorder="1" applyAlignment="1">
      <alignment vertical="center"/>
    </xf>
    <xf numFmtId="9" fontId="10" fillId="0" borderId="170" xfId="2" applyFont="1" applyFill="1" applyBorder="1" applyAlignment="1">
      <alignment horizontal="center" vertical="center"/>
    </xf>
    <xf numFmtId="0" fontId="2" fillId="0" borderId="141" xfId="0" applyFont="1" applyBorder="1" applyAlignment="1">
      <alignment vertical="center"/>
    </xf>
    <xf numFmtId="169" fontId="2" fillId="0" borderId="140" xfId="2" applyNumberFormat="1" applyFont="1" applyFill="1" applyBorder="1" applyAlignment="1">
      <alignment horizontal="center" vertical="center" wrapText="1"/>
    </xf>
    <xf numFmtId="43" fontId="7" fillId="2" borderId="171" xfId="1" applyFont="1" applyFill="1" applyBorder="1" applyAlignment="1">
      <alignment vertical="center"/>
    </xf>
    <xf numFmtId="43" fontId="7" fillId="0" borderId="172" xfId="1" applyFont="1" applyFill="1" applyBorder="1" applyAlignment="1">
      <alignment vertical="center"/>
    </xf>
    <xf numFmtId="43" fontId="7" fillId="0" borderId="0" xfId="1" applyFont="1" applyFill="1" applyBorder="1" applyAlignment="1">
      <alignment horizontal="center" vertical="center" wrapText="1"/>
    </xf>
    <xf numFmtId="43" fontId="7" fillId="6" borderId="169" xfId="1" applyFont="1" applyFill="1" applyBorder="1" applyAlignment="1">
      <alignment vertical="center"/>
    </xf>
    <xf numFmtId="0" fontId="7" fillId="0" borderId="173" xfId="0" applyFont="1" applyBorder="1" applyAlignment="1">
      <alignment vertical="center"/>
    </xf>
    <xf numFmtId="0" fontId="18" fillId="6" borderId="168" xfId="0" applyFont="1" applyFill="1" applyBorder="1" applyAlignment="1">
      <alignment vertical="center"/>
    </xf>
    <xf numFmtId="0" fontId="10" fillId="2" borderId="174" xfId="0" applyFont="1" applyFill="1" applyBorder="1" applyAlignment="1">
      <alignment vertical="center"/>
    </xf>
    <xf numFmtId="0" fontId="7" fillId="2" borderId="175" xfId="0" applyFont="1" applyFill="1" applyBorder="1" applyAlignment="1">
      <alignment horizontal="center" vertical="center"/>
    </xf>
    <xf numFmtId="43" fontId="7" fillId="2" borderId="175" xfId="1" applyFont="1" applyFill="1" applyBorder="1" applyAlignment="1">
      <alignment horizontal="center" vertical="center"/>
    </xf>
    <xf numFmtId="43" fontId="7" fillId="2" borderId="175" xfId="1" applyFont="1" applyFill="1" applyBorder="1" applyAlignment="1">
      <alignment vertical="center"/>
    </xf>
    <xf numFmtId="0" fontId="7" fillId="2" borderId="176" xfId="1" applyNumberFormat="1" applyFont="1" applyFill="1" applyBorder="1" applyAlignment="1">
      <alignment vertical="center"/>
    </xf>
    <xf numFmtId="0" fontId="6" fillId="6" borderId="118" xfId="0" applyFont="1" applyFill="1" applyBorder="1" applyAlignment="1" applyProtection="1">
      <alignment vertical="center"/>
      <protection locked="0"/>
    </xf>
    <xf numFmtId="0" fontId="2" fillId="6" borderId="168" xfId="0" applyFont="1" applyFill="1" applyBorder="1" applyAlignment="1" applyProtection="1">
      <alignment horizontal="center" vertical="center"/>
      <protection locked="0"/>
    </xf>
    <xf numFmtId="0" fontId="7" fillId="6" borderId="168" xfId="0" applyFont="1" applyFill="1" applyBorder="1" applyAlignment="1" applyProtection="1">
      <alignment horizontal="center" vertical="center"/>
      <protection locked="0"/>
    </xf>
    <xf numFmtId="0" fontId="10" fillId="6" borderId="168" xfId="0" applyFont="1" applyFill="1" applyBorder="1" applyAlignment="1" applyProtection="1">
      <alignment vertical="center"/>
      <protection locked="0"/>
    </xf>
    <xf numFmtId="0" fontId="10" fillId="6" borderId="168" xfId="0" applyFont="1" applyFill="1" applyBorder="1" applyAlignment="1" applyProtection="1">
      <alignment horizontal="center" vertical="center" wrapText="1"/>
      <protection locked="0"/>
    </xf>
    <xf numFmtId="0" fontId="10" fillId="6" borderId="120" xfId="0" applyFont="1" applyFill="1" applyBorder="1" applyAlignment="1" applyProtection="1">
      <alignment horizontal="center" vertical="center" wrapText="1"/>
      <protection locked="0"/>
    </xf>
    <xf numFmtId="0" fontId="7" fillId="0" borderId="180" xfId="0" applyFont="1" applyBorder="1" applyProtection="1">
      <protection locked="0"/>
    </xf>
    <xf numFmtId="0" fontId="7" fillId="0" borderId="180" xfId="0" applyFont="1" applyBorder="1" applyAlignment="1" applyProtection="1">
      <alignment vertical="center"/>
      <protection locked="0"/>
    </xf>
    <xf numFmtId="0" fontId="7" fillId="11" borderId="180" xfId="0" applyFont="1" applyFill="1" applyBorder="1" applyProtection="1">
      <protection locked="0"/>
    </xf>
    <xf numFmtId="0" fontId="7" fillId="11" borderId="182" xfId="0" applyFont="1" applyFill="1" applyBorder="1" applyProtection="1">
      <protection locked="0"/>
    </xf>
    <xf numFmtId="0" fontId="10" fillId="0" borderId="184" xfId="0" applyFont="1" applyBorder="1" applyAlignment="1" applyProtection="1">
      <alignment horizontal="center" vertical="center"/>
      <protection locked="0"/>
    </xf>
    <xf numFmtId="0" fontId="10" fillId="0" borderId="183" xfId="0" applyFont="1" applyBorder="1" applyProtection="1">
      <protection locked="0"/>
    </xf>
    <xf numFmtId="0" fontId="7" fillId="0" borderId="184" xfId="0" applyFont="1" applyBorder="1" applyProtection="1">
      <protection locked="0"/>
    </xf>
    <xf numFmtId="0" fontId="7" fillId="0" borderId="184" xfId="0" applyFont="1" applyBorder="1" applyAlignment="1" applyProtection="1">
      <alignment vertical="center" wrapText="1"/>
      <protection locked="0"/>
    </xf>
    <xf numFmtId="0" fontId="7" fillId="0" borderId="186" xfId="0" applyFont="1" applyBorder="1" applyAlignment="1" applyProtection="1">
      <alignment horizontal="center" vertical="center"/>
      <protection locked="0"/>
    </xf>
    <xf numFmtId="43" fontId="7" fillId="0" borderId="186" xfId="1" applyFont="1" applyBorder="1" applyProtection="1">
      <protection locked="0"/>
    </xf>
    <xf numFmtId="0" fontId="7" fillId="0" borderId="187" xfId="0" applyFont="1" applyBorder="1" applyAlignment="1" applyProtection="1">
      <alignment vertical="center"/>
      <protection locked="0"/>
    </xf>
    <xf numFmtId="0" fontId="7" fillId="0" borderId="186" xfId="0" applyFont="1" applyBorder="1" applyProtection="1">
      <protection locked="0"/>
    </xf>
    <xf numFmtId="0" fontId="7" fillId="6" borderId="188" xfId="0" applyFont="1" applyFill="1" applyBorder="1" applyProtection="1">
      <protection locked="0"/>
    </xf>
    <xf numFmtId="0" fontId="7" fillId="6" borderId="187" xfId="0" applyFont="1" applyFill="1" applyBorder="1" applyProtection="1">
      <protection locked="0"/>
    </xf>
    <xf numFmtId="0" fontId="7" fillId="0" borderId="189" xfId="0" applyFont="1" applyBorder="1" applyProtection="1">
      <protection locked="0"/>
    </xf>
    <xf numFmtId="0" fontId="10" fillId="0" borderId="190" xfId="0" applyFont="1" applyBorder="1" applyAlignment="1" applyProtection="1">
      <alignment horizontal="center"/>
      <protection locked="0"/>
    </xf>
    <xf numFmtId="0" fontId="7" fillId="0" borderId="190" xfId="0" applyFont="1" applyBorder="1" applyProtection="1">
      <protection locked="0"/>
    </xf>
    <xf numFmtId="0" fontId="7" fillId="0" borderId="190" xfId="0" applyFont="1" applyBorder="1" applyAlignment="1" applyProtection="1">
      <alignment vertical="center" wrapText="1"/>
      <protection locked="0"/>
    </xf>
    <xf numFmtId="0" fontId="7" fillId="0" borderId="186" xfId="0" applyFont="1" applyBorder="1" applyAlignment="1" applyProtection="1">
      <alignment vertical="center"/>
      <protection locked="0"/>
    </xf>
    <xf numFmtId="0" fontId="39" fillId="0" borderId="192" xfId="0" applyFont="1" applyBorder="1" applyProtection="1">
      <protection locked="0"/>
    </xf>
    <xf numFmtId="0" fontId="39" fillId="0" borderId="193" xfId="0" applyFont="1" applyBorder="1" applyProtection="1">
      <protection locked="0"/>
    </xf>
    <xf numFmtId="4" fontId="39" fillId="0" borderId="193" xfId="0" applyNumberFormat="1" applyFont="1" applyBorder="1" applyProtection="1">
      <protection locked="0"/>
    </xf>
    <xf numFmtId="0" fontId="39" fillId="0" borderId="194" xfId="0" applyFont="1" applyBorder="1" applyProtection="1">
      <protection locked="0"/>
    </xf>
    <xf numFmtId="0" fontId="10" fillId="11" borderId="180" xfId="0" applyFont="1" applyFill="1" applyBorder="1" applyProtection="1">
      <protection locked="0"/>
    </xf>
    <xf numFmtId="0" fontId="7" fillId="0" borderId="190" xfId="0" applyFont="1" applyBorder="1" applyAlignment="1" applyProtection="1">
      <alignment wrapText="1"/>
      <protection locked="0"/>
    </xf>
    <xf numFmtId="0" fontId="7" fillId="6" borderId="186" xfId="0" applyFont="1" applyFill="1" applyBorder="1" applyProtection="1">
      <protection locked="0"/>
    </xf>
    <xf numFmtId="0" fontId="7" fillId="0" borderId="191" xfId="0" applyFont="1" applyBorder="1" applyAlignment="1" applyProtection="1">
      <alignment wrapText="1"/>
      <protection locked="0"/>
    </xf>
    <xf numFmtId="0" fontId="0" fillId="0" borderId="166" xfId="0" applyBorder="1" applyProtection="1">
      <protection locked="0"/>
    </xf>
    <xf numFmtId="0" fontId="7" fillId="0" borderId="194" xfId="0" applyFont="1" applyBorder="1" applyProtection="1">
      <protection locked="0"/>
    </xf>
    <xf numFmtId="0" fontId="10" fillId="9" borderId="153" xfId="0" applyFont="1" applyFill="1" applyBorder="1" applyAlignment="1" applyProtection="1">
      <alignment horizontal="center" vertical="center"/>
      <protection locked="0"/>
    </xf>
    <xf numFmtId="0" fontId="10" fillId="9" borderId="145" xfId="0" applyFont="1" applyFill="1" applyBorder="1" applyAlignment="1" applyProtection="1">
      <alignment horizontal="center" vertical="center" wrapText="1"/>
      <protection locked="0"/>
    </xf>
    <xf numFmtId="0" fontId="10" fillId="9" borderId="145" xfId="0" applyFont="1" applyFill="1" applyBorder="1" applyAlignment="1" applyProtection="1">
      <alignment horizontal="center" vertical="center"/>
      <protection locked="0"/>
    </xf>
    <xf numFmtId="0" fontId="10" fillId="9" borderId="147" xfId="0" applyFont="1" applyFill="1" applyBorder="1" applyAlignment="1" applyProtection="1">
      <alignment horizontal="center" vertical="center"/>
      <protection locked="0"/>
    </xf>
    <xf numFmtId="0" fontId="7" fillId="0" borderId="141" xfId="0" applyFont="1" applyBorder="1" applyAlignment="1" applyProtection="1">
      <alignment vertical="center"/>
      <protection locked="0"/>
    </xf>
    <xf numFmtId="44" fontId="7" fillId="0" borderId="140" xfId="1" applyNumberFormat="1" applyFont="1" applyBorder="1" applyAlignment="1" applyProtection="1">
      <alignment vertical="center"/>
      <protection locked="0"/>
    </xf>
    <xf numFmtId="176" fontId="7" fillId="0" borderId="140" xfId="0" applyNumberFormat="1" applyFont="1" applyBorder="1" applyAlignment="1" applyProtection="1">
      <alignment horizontal="center" vertical="center"/>
      <protection locked="0"/>
    </xf>
    <xf numFmtId="0" fontId="7" fillId="0" borderId="142" xfId="0" applyFont="1" applyBorder="1" applyAlignment="1" applyProtection="1">
      <alignment vertical="center"/>
      <protection locked="0"/>
    </xf>
    <xf numFmtId="43" fontId="7" fillId="0" borderId="143" xfId="0" applyNumberFormat="1" applyFont="1" applyBorder="1" applyAlignment="1" applyProtection="1">
      <alignment horizontal="center" vertical="center"/>
      <protection locked="0"/>
    </xf>
    <xf numFmtId="169" fontId="7" fillId="0" borderId="143" xfId="2" applyNumberFormat="1" applyFont="1" applyBorder="1" applyAlignment="1" applyProtection="1">
      <alignment horizontal="center" vertical="center"/>
      <protection locked="0"/>
    </xf>
    <xf numFmtId="176" fontId="7" fillId="0" borderId="144" xfId="1" applyNumberFormat="1" applyFont="1" applyFill="1" applyBorder="1" applyAlignment="1" applyProtection="1">
      <alignment horizontal="center" vertical="center"/>
      <protection locked="0"/>
    </xf>
    <xf numFmtId="0" fontId="10" fillId="5" borderId="196" xfId="0" applyFont="1" applyFill="1" applyBorder="1" applyAlignment="1" applyProtection="1">
      <alignment horizontal="center" vertical="center"/>
      <protection locked="0"/>
    </xf>
    <xf numFmtId="0" fontId="10" fillId="5" borderId="196" xfId="0" applyFont="1" applyFill="1" applyBorder="1" applyAlignment="1" applyProtection="1">
      <alignment horizontal="center"/>
      <protection locked="0"/>
    </xf>
    <xf numFmtId="0" fontId="10" fillId="5" borderId="197" xfId="0" applyFont="1" applyFill="1" applyBorder="1" applyAlignment="1" applyProtection="1">
      <alignment horizontal="center"/>
      <protection locked="0"/>
    </xf>
    <xf numFmtId="0" fontId="10" fillId="5" borderId="190" xfId="0" applyFont="1" applyFill="1" applyBorder="1" applyAlignment="1" applyProtection="1">
      <alignment horizontal="center"/>
      <protection locked="0"/>
    </xf>
    <xf numFmtId="4" fontId="7" fillId="0" borderId="190" xfId="0" applyNumberFormat="1" applyFont="1" applyBorder="1" applyAlignment="1" applyProtection="1">
      <alignment horizontal="center"/>
      <protection locked="0"/>
    </xf>
    <xf numFmtId="0" fontId="7" fillId="0" borderId="186" xfId="0" applyFont="1" applyBorder="1" applyAlignment="1" applyProtection="1">
      <alignment horizontal="center"/>
      <protection locked="0"/>
    </xf>
    <xf numFmtId="4" fontId="7" fillId="0" borderId="191" xfId="0" applyNumberFormat="1" applyFont="1" applyBorder="1" applyAlignment="1" applyProtection="1">
      <alignment horizontal="center"/>
      <protection locked="0"/>
    </xf>
    <xf numFmtId="0" fontId="7" fillId="0" borderId="99" xfId="0" applyFont="1" applyBorder="1" applyProtection="1">
      <protection locked="0"/>
    </xf>
    <xf numFmtId="0" fontId="7" fillId="0" borderId="58" xfId="0" applyFont="1" applyBorder="1" applyAlignment="1" applyProtection="1">
      <alignment vertical="center"/>
      <protection locked="0"/>
    </xf>
    <xf numFmtId="0" fontId="7" fillId="0" borderId="198" xfId="0" applyFont="1" applyBorder="1" applyAlignment="1" applyProtection="1">
      <alignment vertical="center"/>
      <protection locked="0"/>
    </xf>
    <xf numFmtId="0" fontId="6" fillId="0" borderId="199" xfId="0" applyFont="1" applyBorder="1" applyProtection="1">
      <protection locked="0"/>
    </xf>
    <xf numFmtId="0" fontId="10" fillId="2" borderId="174" xfId="0" applyFont="1" applyFill="1" applyBorder="1" applyAlignment="1" applyProtection="1">
      <alignment vertical="center"/>
      <protection locked="0"/>
    </xf>
    <xf numFmtId="0" fontId="7" fillId="2" borderId="175" xfId="0" applyFont="1" applyFill="1" applyBorder="1" applyAlignment="1" applyProtection="1">
      <alignment horizontal="center" vertical="center"/>
      <protection locked="0"/>
    </xf>
    <xf numFmtId="43" fontId="7" fillId="2" borderId="175" xfId="1" applyFont="1" applyFill="1" applyBorder="1" applyAlignment="1" applyProtection="1">
      <alignment horizontal="center" vertical="center"/>
      <protection locked="0"/>
    </xf>
    <xf numFmtId="43" fontId="7" fillId="2" borderId="175" xfId="1" applyFont="1" applyFill="1" applyBorder="1" applyAlignment="1" applyProtection="1">
      <alignment vertical="center"/>
      <protection locked="0"/>
    </xf>
    <xf numFmtId="0" fontId="7" fillId="2" borderId="176" xfId="1" applyNumberFormat="1" applyFont="1" applyFill="1" applyBorder="1" applyAlignment="1" applyProtection="1">
      <alignment vertical="center" wrapText="1"/>
      <protection locked="0"/>
    </xf>
    <xf numFmtId="0" fontId="7" fillId="0" borderId="142" xfId="0" applyFont="1" applyBorder="1" applyAlignment="1" applyProtection="1">
      <alignment horizontal="center" vertical="top" wrapText="1"/>
      <protection locked="0"/>
    </xf>
    <xf numFmtId="2" fontId="2" fillId="0" borderId="177" xfId="1" applyNumberFormat="1" applyFont="1" applyBorder="1" applyAlignment="1" applyProtection="1">
      <alignment horizontal="center" vertical="center"/>
      <protection locked="0"/>
    </xf>
    <xf numFmtId="2" fontId="2" fillId="0" borderId="177" xfId="1" applyNumberFormat="1" applyFont="1" applyFill="1" applyBorder="1" applyAlignment="1" applyProtection="1">
      <alignment horizontal="center" vertical="center"/>
      <protection locked="0"/>
    </xf>
    <xf numFmtId="43" fontId="2" fillId="0" borderId="177" xfId="1" applyFont="1" applyFill="1" applyBorder="1" applyAlignment="1" applyProtection="1">
      <alignment horizontal="center" vertical="center"/>
      <protection locked="0"/>
    </xf>
    <xf numFmtId="43" fontId="2" fillId="0" borderId="178" xfId="1" applyFont="1" applyFill="1" applyBorder="1" applyAlignment="1" applyProtection="1">
      <alignment horizontal="center" vertical="center"/>
      <protection locked="0"/>
    </xf>
    <xf numFmtId="0" fontId="7" fillId="2" borderId="176" xfId="1" applyNumberFormat="1" applyFont="1" applyFill="1" applyBorder="1" applyAlignment="1" applyProtection="1">
      <alignment horizontal="center" vertical="center" wrapText="1"/>
      <protection locked="0"/>
    </xf>
    <xf numFmtId="0" fontId="0" fillId="0" borderId="0" xfId="0" applyAlignment="1" applyProtection="1">
      <alignment horizontal="center" vertical="top"/>
      <protection locked="0"/>
    </xf>
    <xf numFmtId="0" fontId="48" fillId="0" borderId="0" xfId="0" applyFont="1" applyAlignment="1" applyProtection="1">
      <alignment horizontal="left" vertical="top" wrapText="1"/>
      <protection locked="0"/>
    </xf>
    <xf numFmtId="0" fontId="0" fillId="0" borderId="0" xfId="0" applyAlignment="1" applyProtection="1">
      <alignment vertical="top"/>
      <protection locked="0"/>
    </xf>
    <xf numFmtId="0" fontId="0" fillId="0" borderId="0" xfId="0" applyAlignment="1">
      <alignment vertical="top"/>
    </xf>
    <xf numFmtId="0" fontId="6" fillId="0" borderId="0" xfId="0" applyFont="1" applyAlignment="1" applyProtection="1">
      <alignment horizontal="center" vertical="center" wrapText="1"/>
      <protection locked="0"/>
    </xf>
    <xf numFmtId="165" fontId="10" fillId="0" borderId="0" xfId="1" applyNumberFormat="1" applyFont="1" applyFill="1" applyBorder="1" applyAlignment="1" applyProtection="1">
      <alignment horizontal="left" vertical="center" indent="4"/>
      <protection locked="0"/>
    </xf>
    <xf numFmtId="165" fontId="18" fillId="0" borderId="0" xfId="1" applyNumberFormat="1" applyFont="1" applyFill="1" applyBorder="1" applyAlignment="1" applyProtection="1">
      <alignment horizontal="left" vertical="center" indent="4"/>
      <protection locked="0"/>
    </xf>
    <xf numFmtId="0" fontId="10" fillId="0" borderId="0" xfId="0" applyFont="1" applyAlignment="1" applyProtection="1">
      <alignment horizontal="left" vertical="center" indent="4"/>
      <protection locked="0"/>
    </xf>
    <xf numFmtId="1" fontId="10" fillId="0" borderId="0" xfId="0" applyNumberFormat="1" applyFont="1" applyAlignment="1" applyProtection="1">
      <alignment horizontal="left" vertical="center" indent="4"/>
      <protection locked="0"/>
    </xf>
    <xf numFmtId="0" fontId="18" fillId="0" borderId="0" xfId="0" applyFont="1" applyAlignment="1" applyProtection="1">
      <alignment horizontal="left" vertical="center" indent="4"/>
      <protection locked="0"/>
    </xf>
    <xf numFmtId="0" fontId="7" fillId="0" borderId="0" xfId="0" applyFont="1" applyAlignment="1" applyProtection="1">
      <alignment vertical="top"/>
      <protection locked="0"/>
    </xf>
    <xf numFmtId="0" fontId="0" fillId="0" borderId="0" xfId="0" applyAlignment="1" applyProtection="1">
      <alignment horizontal="center" vertical="top" wrapText="1"/>
      <protection locked="0"/>
    </xf>
    <xf numFmtId="0" fontId="0" fillId="0" borderId="180" xfId="0" applyBorder="1"/>
    <xf numFmtId="0" fontId="10" fillId="0" borderId="59" xfId="0" applyFont="1" applyBorder="1" applyProtection="1">
      <protection locked="0"/>
    </xf>
    <xf numFmtId="0" fontId="10" fillId="0" borderId="59" xfId="0" applyFont="1" applyBorder="1" applyAlignment="1" applyProtection="1">
      <alignment vertical="center"/>
      <protection locked="0"/>
    </xf>
    <xf numFmtId="0" fontId="7" fillId="0" borderId="193" xfId="0" applyFont="1" applyBorder="1" applyProtection="1">
      <protection locked="0"/>
    </xf>
    <xf numFmtId="0" fontId="10" fillId="0" borderId="58" xfId="0" applyFont="1" applyBorder="1" applyAlignment="1" applyProtection="1">
      <alignment horizontal="center"/>
      <protection locked="0"/>
    </xf>
    <xf numFmtId="0" fontId="7" fillId="0" borderId="62" xfId="0" applyFont="1" applyBorder="1" applyAlignment="1" applyProtection="1">
      <alignment vertical="center"/>
      <protection locked="0"/>
    </xf>
    <xf numFmtId="0" fontId="0" fillId="0" borderId="167" xfId="0" applyBorder="1" applyProtection="1">
      <protection locked="0"/>
    </xf>
    <xf numFmtId="0" fontId="10" fillId="11" borderId="181" xfId="0" applyFont="1" applyFill="1" applyBorder="1" applyProtection="1">
      <protection locked="0"/>
    </xf>
    <xf numFmtId="0" fontId="10" fillId="0" borderId="198" xfId="0" applyFont="1" applyBorder="1" applyProtection="1">
      <protection locked="0"/>
    </xf>
    <xf numFmtId="0" fontId="7" fillId="0" borderId="167" xfId="0" applyFont="1" applyBorder="1" applyProtection="1">
      <protection locked="0"/>
    </xf>
    <xf numFmtId="0" fontId="10" fillId="0" borderId="58" xfId="0" applyFont="1" applyBorder="1" applyProtection="1">
      <protection locked="0"/>
    </xf>
    <xf numFmtId="0" fontId="39" fillId="6" borderId="193" xfId="0" applyFont="1" applyFill="1" applyBorder="1" applyAlignment="1" applyProtection="1">
      <alignment horizontal="right" vertical="center"/>
      <protection locked="0"/>
    </xf>
    <xf numFmtId="4" fontId="39" fillId="6" borderId="193" xfId="0" applyNumberFormat="1" applyFont="1" applyFill="1" applyBorder="1" applyProtection="1">
      <protection locked="0"/>
    </xf>
    <xf numFmtId="0" fontId="7" fillId="4" borderId="168" xfId="0" applyFont="1" applyFill="1" applyBorder="1" applyAlignment="1" applyProtection="1">
      <alignment vertical="center"/>
      <protection locked="0"/>
    </xf>
    <xf numFmtId="0" fontId="7" fillId="4" borderId="118" xfId="0" applyFont="1" applyFill="1" applyBorder="1" applyAlignment="1" applyProtection="1">
      <alignment vertical="center"/>
      <protection locked="0"/>
    </xf>
    <xf numFmtId="0" fontId="7" fillId="4" borderId="120" xfId="0" applyFont="1" applyFill="1" applyBorder="1" applyAlignment="1" applyProtection="1">
      <alignment vertical="center"/>
      <protection locked="0"/>
    </xf>
    <xf numFmtId="0" fontId="10" fillId="6" borderId="55" xfId="0" applyFont="1" applyFill="1" applyBorder="1" applyAlignment="1" applyProtection="1">
      <alignment horizontal="right" vertical="center" wrapText="1"/>
      <protection locked="0"/>
    </xf>
    <xf numFmtId="0" fontId="10" fillId="6" borderId="57" xfId="0" applyFont="1" applyFill="1" applyBorder="1" applyAlignment="1" applyProtection="1">
      <alignment horizontal="center" vertical="center"/>
      <protection locked="0"/>
    </xf>
    <xf numFmtId="0" fontId="10" fillId="6" borderId="55" xfId="0" applyFont="1" applyFill="1" applyBorder="1" applyAlignment="1" applyProtection="1">
      <alignment horizontal="right" wrapText="1"/>
      <protection locked="0"/>
    </xf>
    <xf numFmtId="0" fontId="10" fillId="9" borderId="126" xfId="0" applyFont="1" applyFill="1" applyBorder="1" applyAlignment="1">
      <alignment horizontal="center" vertical="center"/>
    </xf>
    <xf numFmtId="0" fontId="10" fillId="9" borderId="128" xfId="0" applyFont="1" applyFill="1" applyBorder="1" applyAlignment="1">
      <alignment horizontal="center" vertical="center"/>
    </xf>
    <xf numFmtId="0" fontId="7" fillId="0" borderId="130" xfId="0" applyFont="1" applyBorder="1" applyAlignment="1">
      <alignment horizontal="center" vertical="center"/>
    </xf>
    <xf numFmtId="168" fontId="7" fillId="0" borderId="130" xfId="1" applyNumberFormat="1" applyFont="1" applyBorder="1" applyAlignment="1">
      <alignment horizontal="left" vertical="center"/>
    </xf>
    <xf numFmtId="0" fontId="19" fillId="0" borderId="129" xfId="0" applyFont="1" applyBorder="1" applyAlignment="1">
      <alignment vertical="center" wrapText="1"/>
    </xf>
    <xf numFmtId="0" fontId="19" fillId="0" borderId="131" xfId="0" applyFont="1" applyBorder="1" applyAlignment="1">
      <alignment vertical="center" wrapText="1"/>
    </xf>
    <xf numFmtId="0" fontId="7" fillId="0" borderId="133" xfId="0" applyFont="1" applyBorder="1" applyAlignment="1">
      <alignment horizontal="center" vertical="center"/>
    </xf>
    <xf numFmtId="0" fontId="16" fillId="9" borderId="121" xfId="0" applyFont="1" applyFill="1" applyBorder="1" applyAlignment="1">
      <alignment horizontal="left" vertical="center" wrapText="1"/>
    </xf>
    <xf numFmtId="0" fontId="10" fillId="9" borderId="111" xfId="0" applyFont="1" applyFill="1" applyBorder="1" applyAlignment="1">
      <alignment horizontal="center" vertical="center"/>
    </xf>
    <xf numFmtId="0" fontId="10" fillId="9" borderId="112" xfId="0" applyFont="1" applyFill="1" applyBorder="1" applyAlignment="1">
      <alignment horizontal="center" vertical="center"/>
    </xf>
    <xf numFmtId="0" fontId="7" fillId="0" borderId="113" xfId="0" applyFont="1" applyBorder="1" applyAlignment="1">
      <alignment horizontal="left" vertical="center" wrapText="1"/>
    </xf>
    <xf numFmtId="0" fontId="7" fillId="0" borderId="114" xfId="0" applyFont="1" applyBorder="1" applyAlignment="1">
      <alignment horizontal="center" vertical="center"/>
    </xf>
    <xf numFmtId="0" fontId="19" fillId="0" borderId="113" xfId="0" applyFont="1" applyBorder="1" applyAlignment="1">
      <alignment horizontal="left" vertical="center" wrapText="1"/>
    </xf>
    <xf numFmtId="0" fontId="7" fillId="0" borderId="115" xfId="0" applyFont="1" applyBorder="1" applyAlignment="1">
      <alignment horizontal="left" vertical="center" wrapText="1"/>
    </xf>
    <xf numFmtId="0" fontId="7" fillId="0" borderId="117" xfId="0" applyFont="1" applyBorder="1" applyAlignment="1">
      <alignment horizontal="center" vertical="center"/>
    </xf>
    <xf numFmtId="172" fontId="7" fillId="0" borderId="130" xfId="1" applyNumberFormat="1" applyFont="1" applyBorder="1" applyAlignment="1">
      <alignment horizontal="center" vertical="center"/>
    </xf>
    <xf numFmtId="168" fontId="7" fillId="0" borderId="130" xfId="1" applyNumberFormat="1" applyFont="1" applyFill="1" applyBorder="1" applyAlignment="1">
      <alignment horizontal="center" vertical="center"/>
    </xf>
    <xf numFmtId="43" fontId="7" fillId="0" borderId="130" xfId="1" applyFont="1" applyBorder="1" applyAlignment="1">
      <alignment horizontal="center" vertical="center"/>
    </xf>
    <xf numFmtId="168" fontId="7" fillId="0" borderId="130" xfId="1" applyNumberFormat="1" applyFont="1" applyBorder="1" applyAlignment="1">
      <alignment horizontal="center" vertical="center"/>
    </xf>
    <xf numFmtId="0" fontId="7" fillId="0" borderId="132" xfId="0" applyFont="1" applyBorder="1" applyAlignment="1">
      <alignment horizontal="center" vertical="center"/>
    </xf>
    <xf numFmtId="43" fontId="7" fillId="0" borderId="133" xfId="1" applyFont="1" applyBorder="1" applyAlignment="1">
      <alignment horizontal="center" vertical="center"/>
    </xf>
    <xf numFmtId="0" fontId="19" fillId="0" borderId="129" xfId="0" applyFont="1" applyBorder="1" applyAlignment="1">
      <alignment vertical="center"/>
    </xf>
    <xf numFmtId="43" fontId="7" fillId="0" borderId="130" xfId="1" applyFont="1" applyBorder="1" applyAlignment="1">
      <alignment vertical="center"/>
    </xf>
    <xf numFmtId="0" fontId="19" fillId="0" borderId="131" xfId="0" applyFont="1" applyBorder="1" applyAlignment="1">
      <alignment vertical="center"/>
    </xf>
    <xf numFmtId="43" fontId="7" fillId="0" borderId="133" xfId="1" applyFont="1" applyBorder="1" applyAlignment="1">
      <alignment vertical="center"/>
    </xf>
    <xf numFmtId="0" fontId="10" fillId="6" borderId="202" xfId="0" applyFont="1" applyFill="1" applyBorder="1" applyAlignment="1">
      <alignment vertical="center" wrapText="1"/>
    </xf>
    <xf numFmtId="0" fontId="2" fillId="6" borderId="203" xfId="0" applyFont="1" applyFill="1" applyBorder="1" applyAlignment="1">
      <alignment horizontal="center" vertical="center"/>
    </xf>
    <xf numFmtId="165" fontId="2" fillId="6" borderId="203" xfId="0" applyNumberFormat="1" applyFont="1" applyFill="1" applyBorder="1" applyAlignment="1">
      <alignment horizontal="center" vertical="center"/>
    </xf>
    <xf numFmtId="43" fontId="2" fillId="6" borderId="204" xfId="0" applyNumberFormat="1" applyFont="1" applyFill="1" applyBorder="1" applyAlignment="1">
      <alignment horizontal="center" vertical="center" wrapText="1"/>
    </xf>
    <xf numFmtId="43" fontId="2" fillId="0" borderId="114" xfId="1" applyFont="1" applyBorder="1" applyAlignment="1">
      <alignment horizontal="center" vertical="center" wrapText="1"/>
    </xf>
    <xf numFmtId="43" fontId="7" fillId="0" borderId="114" xfId="1" applyFont="1" applyBorder="1" applyAlignment="1">
      <alignment horizontal="center" vertical="center" wrapText="1"/>
    </xf>
    <xf numFmtId="168" fontId="2" fillId="2" borderId="114" xfId="1" applyNumberFormat="1" applyFont="1" applyFill="1" applyBorder="1" applyAlignment="1">
      <alignment horizontal="center" vertical="center" wrapText="1"/>
    </xf>
    <xf numFmtId="0" fontId="2" fillId="0" borderId="114" xfId="0" applyFont="1" applyBorder="1" applyAlignment="1">
      <alignment horizontal="center" vertical="center" wrapText="1"/>
    </xf>
    <xf numFmtId="0" fontId="19" fillId="7" borderId="113" xfId="0" applyFont="1" applyFill="1" applyBorder="1" applyAlignment="1">
      <alignment vertical="center" wrapText="1"/>
    </xf>
    <xf numFmtId="164" fontId="7" fillId="7" borderId="114" xfId="2" applyNumberFormat="1" applyFont="1" applyFill="1" applyBorder="1" applyAlignment="1">
      <alignment vertical="center" wrapText="1"/>
    </xf>
    <xf numFmtId="172" fontId="7" fillId="0" borderId="114" xfId="1" applyNumberFormat="1" applyFont="1" applyBorder="1" applyAlignment="1">
      <alignment horizontal="center" vertical="center" wrapText="1"/>
    </xf>
    <xf numFmtId="172" fontId="2" fillId="0" borderId="114" xfId="1" applyNumberFormat="1" applyFont="1" applyBorder="1" applyAlignment="1">
      <alignment horizontal="center" vertical="center" wrapText="1"/>
    </xf>
    <xf numFmtId="168" fontId="2" fillId="2" borderId="117" xfId="1" applyNumberFormat="1" applyFont="1" applyFill="1" applyBorder="1" applyAlignment="1">
      <alignment horizontal="center" vertical="center" wrapText="1"/>
    </xf>
    <xf numFmtId="0" fontId="10" fillId="6" borderId="155" xfId="0" applyFont="1" applyFill="1" applyBorder="1" applyAlignment="1">
      <alignment vertical="center" wrapText="1"/>
    </xf>
    <xf numFmtId="0" fontId="7" fillId="6" borderId="205" xfId="0" applyFont="1" applyFill="1" applyBorder="1" applyAlignment="1">
      <alignment vertical="center"/>
    </xf>
    <xf numFmtId="0" fontId="7" fillId="6" borderId="206" xfId="0" applyFont="1" applyFill="1" applyBorder="1" applyAlignment="1">
      <alignment vertical="center" wrapText="1"/>
    </xf>
    <xf numFmtId="0" fontId="7" fillId="0" borderId="179" xfId="0" applyFont="1" applyBorder="1" applyAlignment="1">
      <alignment vertical="center" wrapText="1"/>
    </xf>
    <xf numFmtId="0" fontId="19" fillId="7" borderId="141" xfId="0" applyFont="1" applyFill="1" applyBorder="1" applyAlignment="1">
      <alignment vertical="center" wrapText="1"/>
    </xf>
    <xf numFmtId="164" fontId="7" fillId="7" borderId="140" xfId="2" applyNumberFormat="1" applyFont="1" applyFill="1" applyBorder="1" applyAlignment="1">
      <alignment vertical="center" wrapText="1"/>
    </xf>
    <xf numFmtId="0" fontId="7" fillId="0" borderId="166" xfId="0" applyFont="1" applyBorder="1" applyAlignment="1">
      <alignment vertical="center" wrapText="1"/>
    </xf>
    <xf numFmtId="0" fontId="7" fillId="0" borderId="167" xfId="0" applyFont="1" applyBorder="1" applyAlignment="1">
      <alignment horizontal="center" vertical="center" wrapText="1"/>
    </xf>
    <xf numFmtId="168" fontId="7" fillId="0" borderId="114" xfId="1" applyNumberFormat="1" applyFont="1" applyBorder="1" applyAlignment="1">
      <alignment horizontal="center" vertical="center" wrapText="1"/>
    </xf>
    <xf numFmtId="168" fontId="2" fillId="0" borderId="114" xfId="1" applyNumberFormat="1" applyFont="1" applyFill="1" applyBorder="1" applyAlignment="1">
      <alignment horizontal="center" vertical="center" wrapText="1"/>
    </xf>
    <xf numFmtId="0" fontId="45" fillId="0" borderId="0" xfId="0" applyFont="1" applyAlignment="1">
      <alignment horizontal="left" vertical="center" indent="2"/>
    </xf>
    <xf numFmtId="0" fontId="10" fillId="11" borderId="118" xfId="0" applyFont="1" applyFill="1" applyBorder="1" applyAlignment="1" applyProtection="1">
      <alignment vertical="center"/>
      <protection locked="0"/>
    </xf>
    <xf numFmtId="0" fontId="7" fillId="11" borderId="168" xfId="0" applyFont="1" applyFill="1" applyBorder="1" applyProtection="1">
      <protection locked="0"/>
    </xf>
    <xf numFmtId="0" fontId="7" fillId="11" borderId="168" xfId="0" applyFont="1" applyFill="1" applyBorder="1" applyAlignment="1" applyProtection="1">
      <alignment vertical="center"/>
      <protection locked="0"/>
    </xf>
    <xf numFmtId="0" fontId="7" fillId="11" borderId="120" xfId="0" applyFont="1" applyFill="1" applyBorder="1" applyProtection="1">
      <protection locked="0"/>
    </xf>
    <xf numFmtId="0" fontId="7" fillId="0" borderId="142" xfId="0" applyFont="1" applyBorder="1" applyAlignment="1" applyProtection="1">
      <alignment horizontal="center" vertical="center" wrapText="1"/>
      <protection locked="0"/>
    </xf>
    <xf numFmtId="0" fontId="48" fillId="0" borderId="0" xfId="0" applyFont="1" applyAlignment="1" applyProtection="1">
      <alignment horizontal="left" vertical="top"/>
      <protection locked="0"/>
    </xf>
    <xf numFmtId="0" fontId="48" fillId="0" borderId="0" xfId="0" applyFont="1" applyAlignment="1">
      <alignment horizontal="left" vertical="center"/>
    </xf>
    <xf numFmtId="0" fontId="10" fillId="0" borderId="142" xfId="0" applyFont="1" applyBorder="1" applyAlignment="1">
      <alignment vertical="center" wrapText="1"/>
    </xf>
    <xf numFmtId="168" fontId="3" fillId="0" borderId="177" xfId="1" applyNumberFormat="1" applyFont="1" applyBorder="1" applyAlignment="1">
      <alignment horizontal="center" vertical="center"/>
    </xf>
    <xf numFmtId="168" fontId="3" fillId="0" borderId="177" xfId="1" applyNumberFormat="1" applyFont="1" applyFill="1" applyBorder="1" applyAlignment="1">
      <alignment horizontal="center" vertical="center"/>
    </xf>
    <xf numFmtId="9" fontId="3" fillId="0" borderId="177" xfId="2" applyFont="1" applyFill="1" applyBorder="1" applyAlignment="1">
      <alignment horizontal="center" vertical="center"/>
    </xf>
    <xf numFmtId="168" fontId="3" fillId="0" borderId="178" xfId="1" applyNumberFormat="1" applyFont="1" applyFill="1" applyBorder="1" applyAlignment="1">
      <alignment horizontal="center" vertical="center"/>
    </xf>
    <xf numFmtId="43" fontId="3" fillId="0" borderId="177" xfId="1" applyFont="1" applyFill="1" applyBorder="1" applyAlignment="1">
      <alignment horizontal="center" vertical="center"/>
    </xf>
    <xf numFmtId="43" fontId="3" fillId="0" borderId="178" xfId="1" applyFont="1" applyFill="1" applyBorder="1" applyAlignment="1">
      <alignment horizontal="center" vertical="center"/>
    </xf>
    <xf numFmtId="0" fontId="22" fillId="3" borderId="20" xfId="0" applyFont="1" applyFill="1" applyBorder="1" applyAlignment="1">
      <alignment horizontal="center" vertical="center" wrapText="1"/>
    </xf>
    <xf numFmtId="0" fontId="56" fillId="0" borderId="68" xfId="4" applyFont="1" applyBorder="1" applyAlignment="1">
      <alignment horizontal="center" vertical="center"/>
    </xf>
    <xf numFmtId="0" fontId="56" fillId="0" borderId="54" xfId="4" applyFont="1" applyBorder="1" applyAlignment="1">
      <alignment horizontal="center" vertical="center"/>
    </xf>
    <xf numFmtId="0" fontId="54" fillId="6" borderId="8" xfId="0" applyFont="1" applyFill="1" applyBorder="1" applyAlignment="1">
      <alignment horizontal="center" vertical="center" wrapText="1"/>
    </xf>
    <xf numFmtId="0" fontId="54" fillId="3" borderId="34" xfId="0" applyFont="1" applyFill="1" applyBorder="1" applyAlignment="1">
      <alignment horizontal="center"/>
    </xf>
    <xf numFmtId="0" fontId="54" fillId="3" borderId="0" xfId="0" applyFont="1" applyFill="1" applyAlignment="1">
      <alignment horizontal="center"/>
    </xf>
    <xf numFmtId="0" fontId="10" fillId="5" borderId="48" xfId="0" applyFont="1" applyFill="1" applyBorder="1" applyAlignment="1">
      <alignment horizontal="center" vertical="center" wrapText="1"/>
    </xf>
    <xf numFmtId="0" fontId="10" fillId="5" borderId="49" xfId="0" applyFont="1" applyFill="1" applyBorder="1" applyAlignment="1">
      <alignment horizontal="center" vertical="center" wrapText="1"/>
    </xf>
    <xf numFmtId="0" fontId="10" fillId="5" borderId="50" xfId="0" applyFont="1" applyFill="1" applyBorder="1" applyAlignment="1">
      <alignment horizontal="center" vertical="center" wrapText="1"/>
    </xf>
    <xf numFmtId="0" fontId="3" fillId="0" borderId="64"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7" fillId="0" borderId="18" xfId="0" applyFont="1" applyBorder="1" applyAlignment="1">
      <alignment horizontal="center" vertical="center"/>
    </xf>
    <xf numFmtId="0" fontId="10" fillId="5" borderId="76" xfId="0" applyFont="1" applyFill="1" applyBorder="1" applyAlignment="1">
      <alignment horizontal="center" vertical="center" wrapText="1"/>
    </xf>
    <xf numFmtId="0" fontId="10" fillId="5" borderId="77" xfId="0" applyFont="1" applyFill="1" applyBorder="1" applyAlignment="1">
      <alignment horizontal="center" vertical="center" wrapText="1"/>
    </xf>
    <xf numFmtId="0" fontId="10" fillId="5" borderId="78" xfId="0" applyFont="1" applyFill="1" applyBorder="1" applyAlignment="1">
      <alignment horizontal="center"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18" xfId="0" applyFont="1" applyBorder="1" applyAlignment="1">
      <alignment horizontal="right" vertical="center"/>
    </xf>
    <xf numFmtId="0" fontId="7" fillId="0" borderId="51" xfId="0" applyFont="1" applyBorder="1" applyAlignment="1">
      <alignment horizontal="right" vertical="center"/>
    </xf>
    <xf numFmtId="0" fontId="7" fillId="0" borderId="52" xfId="0" applyFont="1" applyBorder="1" applyAlignment="1">
      <alignment horizontal="right" vertical="center"/>
    </xf>
    <xf numFmtId="0" fontId="7" fillId="0" borderId="53" xfId="0" applyFont="1" applyBorder="1" applyAlignment="1">
      <alignment horizontal="right" vertical="center"/>
    </xf>
    <xf numFmtId="0" fontId="7" fillId="0" borderId="72" xfId="0" applyFont="1" applyBorder="1" applyAlignment="1">
      <alignment horizontal="center" vertical="center"/>
    </xf>
    <xf numFmtId="0" fontId="45" fillId="0" borderId="0" xfId="0" applyFont="1" applyAlignment="1">
      <alignment horizontal="left" vertical="center" wrapText="1"/>
    </xf>
    <xf numFmtId="0" fontId="7" fillId="9" borderId="70" xfId="0" applyFont="1" applyFill="1" applyBorder="1" applyAlignment="1">
      <alignment horizontal="center"/>
    </xf>
    <xf numFmtId="0" fontId="7" fillId="9" borderId="71" xfId="0" applyFont="1" applyFill="1" applyBorder="1" applyAlignment="1">
      <alignment horizontal="center"/>
    </xf>
    <xf numFmtId="0" fontId="10" fillId="5" borderId="35"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26" xfId="0" applyFont="1" applyFill="1" applyBorder="1" applyAlignment="1">
      <alignment horizontal="center" vertical="center"/>
    </xf>
    <xf numFmtId="167" fontId="10" fillId="9" borderId="69" xfId="3" applyNumberFormat="1" applyFont="1" applyFill="1" applyBorder="1" applyAlignment="1">
      <alignment horizontal="center" vertical="center"/>
    </xf>
    <xf numFmtId="167" fontId="10" fillId="9" borderId="3" xfId="3" applyNumberFormat="1" applyFont="1" applyFill="1" applyBorder="1" applyAlignment="1">
      <alignment horizontal="center" vertical="center"/>
    </xf>
    <xf numFmtId="0" fontId="10" fillId="9" borderId="36" xfId="0" applyFont="1" applyFill="1" applyBorder="1" applyAlignment="1">
      <alignment horizontal="center" vertical="center"/>
    </xf>
    <xf numFmtId="0" fontId="10" fillId="9" borderId="37" xfId="0" applyFont="1" applyFill="1" applyBorder="1" applyAlignment="1">
      <alignment horizontal="center" vertical="center"/>
    </xf>
    <xf numFmtId="165" fontId="2" fillId="0" borderId="40" xfId="0" applyNumberFormat="1" applyFont="1" applyBorder="1" applyAlignment="1">
      <alignment horizontal="center" vertical="center"/>
    </xf>
    <xf numFmtId="165" fontId="2" fillId="0" borderId="41" xfId="0" applyNumberFormat="1" applyFont="1" applyBorder="1" applyAlignment="1">
      <alignment horizontal="center" vertical="center"/>
    </xf>
    <xf numFmtId="165" fontId="2" fillId="0" borderId="43" xfId="0" applyNumberFormat="1" applyFont="1" applyBorder="1" applyAlignment="1">
      <alignment horizontal="center" vertical="center"/>
    </xf>
    <xf numFmtId="0" fontId="7" fillId="0" borderId="0" xfId="0" applyFont="1" applyAlignment="1">
      <alignment horizontal="center" vertical="center"/>
    </xf>
    <xf numFmtId="0" fontId="2" fillId="9" borderId="111" xfId="0" applyFont="1" applyFill="1" applyBorder="1" applyAlignment="1">
      <alignment horizontal="center" vertical="center"/>
    </xf>
    <xf numFmtId="0" fontId="2" fillId="9" borderId="18" xfId="0" applyFont="1" applyFill="1" applyBorder="1" applyAlignment="1">
      <alignment horizontal="center" vertical="center"/>
    </xf>
    <xf numFmtId="0" fontId="2" fillId="9" borderId="112" xfId="0" applyFont="1" applyFill="1" applyBorder="1" applyAlignment="1">
      <alignment horizontal="center" vertical="center"/>
    </xf>
    <xf numFmtId="0" fontId="2" fillId="9" borderId="114" xfId="0" applyFont="1" applyFill="1" applyBorder="1" applyAlignment="1">
      <alignment horizontal="center" vertical="center"/>
    </xf>
    <xf numFmtId="0" fontId="2" fillId="9" borderId="157" xfId="0" applyFont="1" applyFill="1" applyBorder="1" applyAlignment="1">
      <alignment horizontal="center" vertical="center"/>
    </xf>
    <xf numFmtId="0" fontId="48" fillId="0" borderId="0" xfId="0" applyFont="1" applyAlignment="1">
      <alignment horizontal="left" vertical="center" wrapText="1"/>
    </xf>
    <xf numFmtId="0" fontId="10" fillId="9" borderId="121" xfId="0" applyFont="1" applyFill="1" applyBorder="1" applyAlignment="1">
      <alignment horizontal="left" vertical="center"/>
    </xf>
    <xf numFmtId="0" fontId="10" fillId="9" borderId="111" xfId="0" applyFont="1" applyFill="1" applyBorder="1" applyAlignment="1">
      <alignment horizontal="left" vertical="center"/>
    </xf>
    <xf numFmtId="0" fontId="10" fillId="9" borderId="113" xfId="0" applyFont="1" applyFill="1" applyBorder="1" applyAlignment="1">
      <alignment horizontal="left" vertical="center"/>
    </xf>
    <xf numFmtId="0" fontId="10" fillId="9" borderId="18" xfId="0" applyFont="1" applyFill="1" applyBorder="1" applyAlignment="1">
      <alignment horizontal="left" vertical="center"/>
    </xf>
    <xf numFmtId="0" fontId="4" fillId="8" borderId="51" xfId="0" applyFont="1" applyFill="1" applyBorder="1" applyAlignment="1">
      <alignment horizontal="center" vertical="center" wrapText="1"/>
    </xf>
    <xf numFmtId="0" fontId="4" fillId="8" borderId="52"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8" borderId="18" xfId="0" applyFont="1" applyFill="1" applyBorder="1" applyAlignment="1">
      <alignment horizontal="center" vertical="center" wrapText="1"/>
    </xf>
    <xf numFmtId="0" fontId="30" fillId="6" borderId="0" xfId="0" applyFont="1" applyFill="1" applyAlignment="1">
      <alignment horizontal="left" vertical="center"/>
    </xf>
    <xf numFmtId="0" fontId="6" fillId="6" borderId="0" xfId="0" applyFont="1" applyFill="1" applyAlignment="1">
      <alignment horizontal="left" vertical="center"/>
    </xf>
    <xf numFmtId="0" fontId="6" fillId="2" borderId="0" xfId="0" applyFont="1" applyFill="1" applyAlignment="1">
      <alignment horizontal="left" vertical="center" wrapText="1"/>
    </xf>
    <xf numFmtId="0" fontId="6" fillId="6" borderId="19" xfId="0" applyFont="1" applyFill="1" applyBorder="1" applyAlignment="1">
      <alignment horizontal="left" vertical="center"/>
    </xf>
    <xf numFmtId="0" fontId="6" fillId="6" borderId="20" xfId="0" applyFont="1" applyFill="1" applyBorder="1" applyAlignment="1">
      <alignment horizontal="left" vertical="center"/>
    </xf>
    <xf numFmtId="0" fontId="6" fillId="2" borderId="20" xfId="0" applyFont="1" applyFill="1" applyBorder="1" applyAlignment="1">
      <alignment horizontal="left" vertical="center" wrapText="1"/>
    </xf>
    <xf numFmtId="0" fontId="32" fillId="0" borderId="51" xfId="0" applyFont="1" applyBorder="1" applyAlignment="1">
      <alignment horizontal="center" vertical="center"/>
    </xf>
    <xf numFmtId="0" fontId="32" fillId="0" borderId="52" xfId="0" applyFont="1" applyBorder="1" applyAlignment="1">
      <alignment horizontal="center" vertical="center"/>
    </xf>
    <xf numFmtId="0" fontId="32" fillId="0" borderId="53" xfId="0" applyFont="1" applyBorder="1" applyAlignment="1">
      <alignment horizontal="center" vertical="center"/>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10" fillId="9" borderId="135" xfId="0" applyFont="1" applyFill="1" applyBorder="1" applyAlignment="1">
      <alignment horizontal="center" vertical="center" wrapText="1"/>
    </xf>
    <xf numFmtId="0" fontId="10" fillId="9" borderId="148" xfId="0" applyFont="1" applyFill="1" applyBorder="1" applyAlignment="1">
      <alignment horizontal="center" vertical="center" wrapText="1"/>
    </xf>
    <xf numFmtId="0" fontId="10" fillId="9" borderId="149" xfId="0" applyFont="1" applyFill="1" applyBorder="1" applyAlignment="1">
      <alignment horizontal="center" vertical="center" wrapText="1"/>
    </xf>
    <xf numFmtId="0" fontId="10" fillId="9" borderId="136" xfId="0" applyFont="1" applyFill="1" applyBorder="1" applyAlignment="1">
      <alignment horizontal="center" vertical="center"/>
    </xf>
    <xf numFmtId="0" fontId="10" fillId="9" borderId="137" xfId="0" applyFont="1" applyFill="1" applyBorder="1" applyAlignment="1">
      <alignment horizontal="center" vertical="center"/>
    </xf>
    <xf numFmtId="0" fontId="10" fillId="9" borderId="138" xfId="0" applyFont="1" applyFill="1" applyBorder="1" applyAlignment="1">
      <alignment horizontal="center" vertical="center"/>
    </xf>
    <xf numFmtId="0" fontId="10" fillId="9" borderId="139" xfId="0" applyFont="1" applyFill="1" applyBorder="1" applyAlignment="1">
      <alignment horizontal="center" vertical="center" wrapText="1"/>
    </xf>
    <xf numFmtId="0" fontId="10" fillId="9" borderId="153" xfId="0" applyFont="1" applyFill="1" applyBorder="1" applyAlignment="1">
      <alignment horizontal="center" vertical="center"/>
    </xf>
    <xf numFmtId="0" fontId="10" fillId="9" borderId="141" xfId="0" applyFont="1" applyFill="1" applyBorder="1" applyAlignment="1">
      <alignment horizontal="center" vertical="center"/>
    </xf>
    <xf numFmtId="0" fontId="10" fillId="9" borderId="145"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145" xfId="0" applyFont="1" applyFill="1" applyBorder="1" applyAlignment="1">
      <alignment horizontal="center" vertical="center"/>
    </xf>
    <xf numFmtId="0" fontId="10" fillId="9" borderId="8" xfId="0" applyFont="1" applyFill="1" applyBorder="1" applyAlignment="1">
      <alignment horizontal="center" vertical="center"/>
    </xf>
    <xf numFmtId="0" fontId="10" fillId="9" borderId="147" xfId="0" applyFont="1" applyFill="1" applyBorder="1" applyAlignment="1">
      <alignment horizontal="center" vertical="center"/>
    </xf>
    <xf numFmtId="0" fontId="10" fillId="9" borderId="140" xfId="0" applyFont="1" applyFill="1" applyBorder="1" applyAlignment="1">
      <alignment horizontal="center" vertical="center"/>
    </xf>
    <xf numFmtId="0" fontId="4" fillId="0" borderId="51" xfId="0" applyFont="1" applyBorder="1" applyAlignment="1">
      <alignment horizontal="left" vertical="center" wrapText="1"/>
    </xf>
    <xf numFmtId="0" fontId="4" fillId="0" borderId="53" xfId="0" applyFont="1" applyBorder="1" applyAlignment="1">
      <alignment horizontal="left" vertical="center" wrapText="1"/>
    </xf>
    <xf numFmtId="0" fontId="4" fillId="0" borderId="18" xfId="0" applyFont="1" applyBorder="1" applyAlignment="1">
      <alignment horizontal="center" vertical="center" wrapText="1"/>
    </xf>
    <xf numFmtId="0" fontId="4" fillId="0" borderId="52" xfId="0" applyFont="1" applyBorder="1" applyAlignment="1">
      <alignment horizontal="left" vertical="center" wrapText="1"/>
    </xf>
    <xf numFmtId="0" fontId="33" fillId="0" borderId="51" xfId="0" applyFont="1" applyBorder="1" applyAlignment="1">
      <alignment horizontal="left" vertical="center" wrapText="1"/>
    </xf>
    <xf numFmtId="0" fontId="33" fillId="0" borderId="52" xfId="0" applyFont="1" applyBorder="1" applyAlignment="1">
      <alignment horizontal="left" vertical="center" wrapText="1"/>
    </xf>
    <xf numFmtId="0" fontId="33" fillId="0" borderId="53" xfId="0" applyFont="1" applyBorder="1" applyAlignment="1">
      <alignment horizontal="left" vertical="center" wrapText="1"/>
    </xf>
    <xf numFmtId="0" fontId="45" fillId="0" borderId="0" xfId="0" applyFont="1" applyAlignment="1" applyProtection="1">
      <alignment horizontal="left" vertical="center" wrapText="1"/>
      <protection locked="0"/>
    </xf>
    <xf numFmtId="0" fontId="48" fillId="0" borderId="0" xfId="0" applyFont="1" applyAlignment="1" applyProtection="1">
      <alignment horizontal="left" vertical="top" wrapText="1"/>
      <protection locked="0"/>
    </xf>
    <xf numFmtId="0" fontId="10" fillId="6" borderId="56" xfId="0" applyFont="1" applyFill="1" applyBorder="1" applyAlignment="1" applyProtection="1">
      <alignment horizontal="center" vertical="center" wrapText="1"/>
      <protection locked="0"/>
    </xf>
    <xf numFmtId="0" fontId="10" fillId="6" borderId="59" xfId="0" applyFont="1" applyFill="1" applyBorder="1" applyAlignment="1" applyProtection="1">
      <alignment horizontal="center" vertical="center" wrapText="1"/>
      <protection locked="0"/>
    </xf>
    <xf numFmtId="0" fontId="7" fillId="0" borderId="183" xfId="0" applyFont="1" applyBorder="1" applyAlignment="1" applyProtection="1">
      <alignment horizontal="center" vertical="center"/>
      <protection locked="0"/>
    </xf>
    <xf numFmtId="0" fontId="7" fillId="0" borderId="55" xfId="0" applyFont="1" applyBorder="1" applyAlignment="1" applyProtection="1">
      <alignment horizontal="left" vertical="center"/>
      <protection locked="0"/>
    </xf>
    <xf numFmtId="0" fontId="7" fillId="0" borderId="185" xfId="0" applyFont="1" applyBorder="1" applyAlignment="1" applyProtection="1">
      <alignment horizontal="center" vertical="center"/>
      <protection locked="0"/>
    </xf>
    <xf numFmtId="0" fontId="7" fillId="0" borderId="186" xfId="0" applyFont="1" applyBorder="1" applyAlignment="1" applyProtection="1">
      <alignment horizontal="left" vertical="center"/>
      <protection locked="0"/>
    </xf>
    <xf numFmtId="0" fontId="48" fillId="0" borderId="0" xfId="0" applyFont="1" applyAlignment="1" applyProtection="1">
      <alignment horizontal="left" vertical="center" wrapText="1"/>
      <protection locked="0"/>
    </xf>
    <xf numFmtId="0" fontId="10" fillId="5" borderId="195" xfId="0" applyFont="1" applyFill="1" applyBorder="1" applyAlignment="1" applyProtection="1">
      <alignment horizontal="center" vertical="center"/>
      <protection locked="0"/>
    </xf>
    <xf numFmtId="0" fontId="10" fillId="5" borderId="183" xfId="0" applyFont="1" applyFill="1" applyBorder="1" applyAlignment="1" applyProtection="1">
      <alignment horizontal="center" vertical="center"/>
      <protection locked="0"/>
    </xf>
    <xf numFmtId="0" fontId="10" fillId="5" borderId="196" xfId="0" applyFont="1" applyFill="1" applyBorder="1" applyAlignment="1" applyProtection="1">
      <alignment horizontal="center" vertical="center"/>
      <protection locked="0"/>
    </xf>
    <xf numFmtId="0" fontId="10" fillId="5" borderId="55" xfId="0" applyFont="1" applyFill="1" applyBorder="1" applyAlignment="1" applyProtection="1">
      <alignment horizontal="center" vertical="center"/>
      <protection locked="0"/>
    </xf>
    <xf numFmtId="0" fontId="10" fillId="5" borderId="55" xfId="0" applyFont="1" applyFill="1" applyBorder="1" applyAlignment="1" applyProtection="1">
      <alignment horizontal="center"/>
      <protection locked="0"/>
    </xf>
    <xf numFmtId="0" fontId="7" fillId="0" borderId="55" xfId="0" applyFont="1" applyBorder="1" applyAlignment="1" applyProtection="1">
      <alignment horizontal="center" vertical="center"/>
      <protection locked="0"/>
    </xf>
    <xf numFmtId="0" fontId="7" fillId="0" borderId="186" xfId="0" applyFont="1" applyBorder="1" applyAlignment="1" applyProtection="1">
      <alignment horizontal="center" vertical="center"/>
      <protection locked="0"/>
    </xf>
    <xf numFmtId="0" fontId="7" fillId="0" borderId="183" xfId="0" applyFont="1" applyBorder="1" applyAlignment="1" applyProtection="1">
      <alignment horizontal="left" vertical="center"/>
      <protection locked="0"/>
    </xf>
    <xf numFmtId="0" fontId="7" fillId="0" borderId="185" xfId="0" applyFont="1" applyBorder="1" applyAlignment="1" applyProtection="1">
      <alignment horizontal="left" vertical="center"/>
      <protection locked="0"/>
    </xf>
    <xf numFmtId="43" fontId="2" fillId="0" borderId="200" xfId="1" applyFont="1" applyFill="1" applyBorder="1" applyAlignment="1" applyProtection="1">
      <alignment horizontal="center" vertical="center" wrapText="1"/>
      <protection locked="0"/>
    </xf>
    <xf numFmtId="43" fontId="2" fillId="0" borderId="201" xfId="1" applyFont="1" applyFill="1" applyBorder="1" applyAlignment="1" applyProtection="1">
      <alignment horizontal="center" vertical="center" wrapText="1"/>
      <protection locked="0"/>
    </xf>
    <xf numFmtId="0" fontId="28" fillId="3" borderId="0" xfId="0" applyFont="1" applyFill="1" applyAlignment="1">
      <alignment horizontal="left" vertical="center" wrapText="1" indent="3"/>
    </xf>
    <xf numFmtId="0" fontId="32" fillId="0" borderId="51" xfId="0" applyFont="1" applyBorder="1" applyAlignment="1">
      <alignment horizontal="center" vertical="center" wrapText="1"/>
    </xf>
    <xf numFmtId="0" fontId="32" fillId="0" borderId="53" xfId="0" applyFont="1" applyBorder="1" applyAlignment="1">
      <alignment horizontal="center" vertical="center" wrapText="1"/>
    </xf>
    <xf numFmtId="0" fontId="6" fillId="2" borderId="0" xfId="0" applyFont="1" applyFill="1" applyAlignment="1">
      <alignment horizontal="left" vertical="center"/>
    </xf>
    <xf numFmtId="0" fontId="10" fillId="9" borderId="21" xfId="0" applyFont="1" applyFill="1" applyBorder="1" applyAlignment="1">
      <alignment horizontal="center" vertical="center"/>
    </xf>
    <xf numFmtId="0" fontId="10" fillId="9" borderId="22" xfId="0" applyFont="1" applyFill="1" applyBorder="1" applyAlignment="1">
      <alignment horizontal="center" vertical="center"/>
    </xf>
    <xf numFmtId="0" fontId="10" fillId="9" borderId="29" xfId="0" applyFont="1" applyFill="1" applyBorder="1" applyAlignment="1">
      <alignment horizontal="center" vertical="center"/>
    </xf>
    <xf numFmtId="0" fontId="10" fillId="9" borderId="18" xfId="0" applyFont="1" applyFill="1" applyBorder="1" applyAlignment="1">
      <alignment horizontal="center" vertical="center"/>
    </xf>
    <xf numFmtId="0" fontId="2" fillId="9" borderId="22" xfId="0" applyFont="1" applyFill="1" applyBorder="1" applyAlignment="1">
      <alignment horizontal="center" vertical="center"/>
    </xf>
    <xf numFmtId="0" fontId="7" fillId="9" borderId="23" xfId="0" applyFont="1" applyFill="1" applyBorder="1" applyAlignment="1">
      <alignment horizontal="center" vertical="center"/>
    </xf>
    <xf numFmtId="0" fontId="7" fillId="9" borderId="30" xfId="0" applyFont="1" applyFill="1" applyBorder="1" applyAlignment="1">
      <alignment horizontal="center" vertical="center"/>
    </xf>
    <xf numFmtId="0" fontId="32" fillId="0" borderId="52" xfId="0" applyFont="1" applyBorder="1" applyAlignment="1">
      <alignment horizontal="center" vertical="center" wrapText="1"/>
    </xf>
    <xf numFmtId="0" fontId="45" fillId="0" borderId="0" xfId="0" applyFont="1" applyFill="1" applyAlignment="1">
      <alignment horizontal="left" vertical="center" indent="1"/>
    </xf>
  </cellXfs>
  <cellStyles count="5">
    <cellStyle name="Comma" xfId="1" builtinId="3"/>
    <cellStyle name="Currency" xfId="3" builtinId="4"/>
    <cellStyle name="Hyperlink" xfId="4" builtinId="8"/>
    <cellStyle name="Normal" xfId="0" builtinId="0"/>
    <cellStyle name="Percent" xfId="2" builtinId="5"/>
  </cellStyles>
  <dxfs count="0"/>
  <tableStyles count="0" defaultTableStyle="TableStyleMedium2" defaultPivotStyle="PivotStyleLight16"/>
  <colors>
    <mruColors>
      <color rgb="FFDCDAFA"/>
      <color rgb="FFFFB7B7"/>
      <color rgb="FFD9D9D9"/>
      <color rgb="FFB0ABF4"/>
      <color rgb="FFF8DABA"/>
      <color rgb="FF404040"/>
      <color rgb="FFFBEBD9"/>
      <color rgb="FFFFD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32089541464541"/>
          <c:y val="0.22688409832251047"/>
          <c:w val="0.82546759499884503"/>
          <c:h val="0.61510692207713269"/>
        </c:manualLayout>
      </c:layout>
      <c:lineChart>
        <c:grouping val="standard"/>
        <c:varyColors val="0"/>
        <c:ser>
          <c:idx val="2"/>
          <c:order val="0"/>
          <c:tx>
            <c:strRef>
              <c:f>'Chapter 5 - Assessment'!$B$57</c:f>
              <c:strCache>
                <c:ptCount val="1"/>
                <c:pt idx="0">
                  <c:v>Without Measure (WOM)</c:v>
                </c:pt>
              </c:strCache>
            </c:strRef>
          </c:tx>
          <c:spPr>
            <a:ln w="28575" cap="rnd">
              <a:solidFill>
                <a:schemeClr val="bg1">
                  <a:lumMod val="50000"/>
                </a:schemeClr>
              </a:solidFill>
              <a:round/>
            </a:ln>
            <a:effectLst/>
          </c:spPr>
          <c:marker>
            <c:symbol val="circle"/>
            <c:size val="5"/>
            <c:spPr>
              <a:solidFill>
                <a:schemeClr val="bg1">
                  <a:lumMod val="50000"/>
                </a:schemeClr>
              </a:solidFill>
              <a:ln w="9525">
                <a:solidFill>
                  <a:schemeClr val="bg1">
                    <a:lumMod val="50000"/>
                  </a:schemeClr>
                </a:solidFill>
              </a:ln>
              <a:effectLst/>
            </c:spPr>
          </c:marker>
          <c:cat>
            <c:strRef>
              <c:f>'Chapter 5 - Assessment'!$D$59:$N$59</c:f>
              <c:strCache>
                <c:ptCount val="11"/>
                <c:pt idx="0">
                  <c:v>t</c:v>
                </c:pt>
                <c:pt idx="1">
                  <c:v>t+1</c:v>
                </c:pt>
                <c:pt idx="2">
                  <c:v>t+2</c:v>
                </c:pt>
                <c:pt idx="3">
                  <c:v>t+3</c:v>
                </c:pt>
                <c:pt idx="4">
                  <c:v>t+4</c:v>
                </c:pt>
                <c:pt idx="5">
                  <c:v>t+5</c:v>
                </c:pt>
                <c:pt idx="6">
                  <c:v>t+6</c:v>
                </c:pt>
                <c:pt idx="7">
                  <c:v>t+7</c:v>
                </c:pt>
                <c:pt idx="8">
                  <c:v>t+8</c:v>
                </c:pt>
                <c:pt idx="9">
                  <c:v>t+9</c:v>
                </c:pt>
                <c:pt idx="10">
                  <c:v>t+10</c:v>
                </c:pt>
              </c:strCache>
            </c:strRef>
          </c:cat>
          <c:val>
            <c:numRef>
              <c:f>'Chapter 5 - Assessment'!$D$81:$N$81</c:f>
              <c:numCache>
                <c:formatCode>_(* #,##0.00_);_(* \(#,##0.00\);_(* "-"??_);_(@_)</c:formatCode>
                <c:ptCount val="11"/>
                <c:pt idx="0">
                  <c:v>3543.2393173631999</c:v>
                </c:pt>
                <c:pt idx="1">
                  <c:v>3649.5364968840959</c:v>
                </c:pt>
                <c:pt idx="2">
                  <c:v>3759.0225917906191</c:v>
                </c:pt>
                <c:pt idx="3">
                  <c:v>3871.7932695443374</c:v>
                </c:pt>
                <c:pt idx="4">
                  <c:v>3987.9470676306682</c:v>
                </c:pt>
                <c:pt idx="5">
                  <c:v>4107.5854796595868</c:v>
                </c:pt>
                <c:pt idx="6">
                  <c:v>4230.8130440493751</c:v>
                </c:pt>
                <c:pt idx="7">
                  <c:v>4357.7374353708565</c:v>
                </c:pt>
                <c:pt idx="8">
                  <c:v>4488.4695584319825</c:v>
                </c:pt>
                <c:pt idx="9">
                  <c:v>4623.1236451849418</c:v>
                </c:pt>
                <c:pt idx="10">
                  <c:v>4761.8173545404898</c:v>
                </c:pt>
              </c:numCache>
            </c:numRef>
          </c:val>
          <c:smooth val="0"/>
          <c:extLst>
            <c:ext xmlns:c16="http://schemas.microsoft.com/office/drawing/2014/chart" uri="{C3380CC4-5D6E-409C-BE32-E72D297353CC}">
              <c16:uniqueId val="{00000002-3C80-4C7F-9F0A-D0FC53924EAA}"/>
            </c:ext>
          </c:extLst>
        </c:ser>
        <c:ser>
          <c:idx val="1"/>
          <c:order val="1"/>
          <c:tx>
            <c:v>WAM-LOW</c:v>
          </c:tx>
          <c:spPr>
            <a:ln w="28575" cap="rnd">
              <a:solidFill>
                <a:srgbClr val="FBEBD9"/>
              </a:solidFill>
              <a:round/>
            </a:ln>
            <a:effectLst/>
          </c:spPr>
          <c:marker>
            <c:symbol val="circle"/>
            <c:size val="5"/>
            <c:spPr>
              <a:solidFill>
                <a:srgbClr val="F8DABA"/>
              </a:solidFill>
              <a:ln w="9525">
                <a:solidFill>
                  <a:srgbClr val="FBEBD9"/>
                </a:solidFill>
              </a:ln>
              <a:effectLst/>
            </c:spPr>
          </c:marker>
          <c:cat>
            <c:strRef>
              <c:f>'Chapter 5 - Assessment'!$D$59:$N$59</c:f>
              <c:strCache>
                <c:ptCount val="11"/>
                <c:pt idx="0">
                  <c:v>t</c:v>
                </c:pt>
                <c:pt idx="1">
                  <c:v>t+1</c:v>
                </c:pt>
                <c:pt idx="2">
                  <c:v>t+2</c:v>
                </c:pt>
                <c:pt idx="3">
                  <c:v>t+3</c:v>
                </c:pt>
                <c:pt idx="4">
                  <c:v>t+4</c:v>
                </c:pt>
                <c:pt idx="5">
                  <c:v>t+5</c:v>
                </c:pt>
                <c:pt idx="6">
                  <c:v>t+6</c:v>
                </c:pt>
                <c:pt idx="7">
                  <c:v>t+7</c:v>
                </c:pt>
                <c:pt idx="8">
                  <c:v>t+8</c:v>
                </c:pt>
                <c:pt idx="9">
                  <c:v>t+9</c:v>
                </c:pt>
                <c:pt idx="10">
                  <c:v>t+10</c:v>
                </c:pt>
              </c:strCache>
            </c:strRef>
          </c:cat>
          <c:val>
            <c:numRef>
              <c:f>'Chapter 5 - Assessment'!$D$145:$N$145</c:f>
              <c:numCache>
                <c:formatCode>_(* #,##0.00_);_(* \(#,##0.00\);_(* "-"??_);_(@_)</c:formatCode>
                <c:ptCount val="11"/>
                <c:pt idx="0">
                  <c:v>3543.2393173631999</c:v>
                </c:pt>
                <c:pt idx="1">
                  <c:v>3578.6717105368321</c:v>
                </c:pt>
                <c:pt idx="2">
                  <c:v>3614.4584276422001</c:v>
                </c:pt>
                <c:pt idx="3">
                  <c:v>3631.019745070254</c:v>
                </c:pt>
                <c:pt idx="4">
                  <c:v>3657.4403927625312</c:v>
                </c:pt>
                <c:pt idx="5">
                  <c:v>3684.0263514341468</c:v>
                </c:pt>
                <c:pt idx="6">
                  <c:v>3715.8224500942033</c:v>
                </c:pt>
                <c:pt idx="7">
                  <c:v>3742.7914615894897</c:v>
                </c:pt>
                <c:pt idx="8">
                  <c:v>3769.9282710696721</c:v>
                </c:pt>
                <c:pt idx="9">
                  <c:v>3797.2335375932994</c:v>
                </c:pt>
                <c:pt idx="10">
                  <c:v>3808.9609820968813</c:v>
                </c:pt>
              </c:numCache>
            </c:numRef>
          </c:val>
          <c:smooth val="0"/>
          <c:extLst>
            <c:ext xmlns:c16="http://schemas.microsoft.com/office/drawing/2014/chart" uri="{C3380CC4-5D6E-409C-BE32-E72D297353CC}">
              <c16:uniqueId val="{00000000-3C80-4C7F-9F0A-D0FC53924EAA}"/>
            </c:ext>
          </c:extLst>
        </c:ser>
        <c:ser>
          <c:idx val="0"/>
          <c:order val="2"/>
          <c:tx>
            <c:v>WAM-HIGH</c:v>
          </c:tx>
          <c:spPr>
            <a:ln w="28575" cap="rnd">
              <a:solidFill>
                <a:srgbClr val="B0ABF4"/>
              </a:solidFill>
              <a:round/>
            </a:ln>
            <a:effectLst/>
          </c:spPr>
          <c:marker>
            <c:symbol val="circle"/>
            <c:size val="5"/>
            <c:spPr>
              <a:solidFill>
                <a:srgbClr val="B0ABF4"/>
              </a:solidFill>
              <a:ln w="9525">
                <a:solidFill>
                  <a:srgbClr val="B0ABF4"/>
                </a:solidFill>
              </a:ln>
              <a:effectLst/>
            </c:spPr>
          </c:marker>
          <c:cat>
            <c:strRef>
              <c:f>'Chapter 5 - Assessment'!$D$59:$N$59</c:f>
              <c:strCache>
                <c:ptCount val="11"/>
                <c:pt idx="0">
                  <c:v>t</c:v>
                </c:pt>
                <c:pt idx="1">
                  <c:v>t+1</c:v>
                </c:pt>
                <c:pt idx="2">
                  <c:v>t+2</c:v>
                </c:pt>
                <c:pt idx="3">
                  <c:v>t+3</c:v>
                </c:pt>
                <c:pt idx="4">
                  <c:v>t+4</c:v>
                </c:pt>
                <c:pt idx="5">
                  <c:v>t+5</c:v>
                </c:pt>
                <c:pt idx="6">
                  <c:v>t+6</c:v>
                </c:pt>
                <c:pt idx="7">
                  <c:v>t+7</c:v>
                </c:pt>
                <c:pt idx="8">
                  <c:v>t+8</c:v>
                </c:pt>
                <c:pt idx="9">
                  <c:v>t+9</c:v>
                </c:pt>
                <c:pt idx="10">
                  <c:v>t+10</c:v>
                </c:pt>
              </c:strCache>
            </c:strRef>
          </c:cat>
          <c:val>
            <c:numRef>
              <c:f>'Chapter 5 - Assessment'!$D$114:$N$114</c:f>
              <c:numCache>
                <c:formatCode>_(* #,##0.00_);_(* \(#,##0.00\);_(* "-"??_);_(@_)</c:formatCode>
                <c:ptCount val="11"/>
                <c:pt idx="0">
                  <c:v>3543.2393173631999</c:v>
                </c:pt>
                <c:pt idx="1">
                  <c:v>3543.2393173631999</c:v>
                </c:pt>
                <c:pt idx="2">
                  <c:v>3543.2393173631999</c:v>
                </c:pt>
                <c:pt idx="3">
                  <c:v>3486.2173397614083</c:v>
                </c:pt>
                <c:pt idx="4">
                  <c:v>3455.8056183737854</c:v>
                </c:pt>
                <c:pt idx="5">
                  <c:v>3429.1953621596163</c:v>
                </c:pt>
                <c:pt idx="6">
                  <c:v>3402.5851059454458</c:v>
                </c:pt>
                <c:pt idx="7">
                  <c:v>3383.5777800781821</c:v>
                </c:pt>
                <c:pt idx="8">
                  <c:v>3353.16605869056</c:v>
                </c:pt>
                <c:pt idx="9">
                  <c:v>3329.4069013564804</c:v>
                </c:pt>
                <c:pt idx="10">
                  <c:v>3305.6477440223998</c:v>
                </c:pt>
              </c:numCache>
            </c:numRef>
          </c:val>
          <c:smooth val="0"/>
          <c:extLst>
            <c:ext xmlns:c16="http://schemas.microsoft.com/office/drawing/2014/chart" uri="{C3380CC4-5D6E-409C-BE32-E72D297353CC}">
              <c16:uniqueId val="{00000001-3C80-4C7F-9F0A-D0FC53924EAA}"/>
            </c:ext>
          </c:extLst>
        </c:ser>
        <c:dLbls>
          <c:showLegendKey val="0"/>
          <c:showVal val="0"/>
          <c:showCatName val="0"/>
          <c:showSerName val="0"/>
          <c:showPercent val="0"/>
          <c:showBubbleSize val="0"/>
        </c:dLbls>
        <c:marker val="1"/>
        <c:smooth val="0"/>
        <c:axId val="61166976"/>
        <c:axId val="61168656"/>
      </c:lineChart>
      <c:catAx>
        <c:axId val="611669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Year</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68656"/>
        <c:crosses val="autoZero"/>
        <c:auto val="1"/>
        <c:lblAlgn val="ctr"/>
        <c:lblOffset val="100"/>
        <c:noMultiLvlLbl val="0"/>
      </c:catAx>
      <c:valAx>
        <c:axId val="61168656"/>
        <c:scaling>
          <c:orientation val="minMax"/>
          <c:max val="500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GHG emissions, Gg CO</a:t>
                </a:r>
                <a:r>
                  <a:rPr lang="en-US" baseline="-25000"/>
                  <a:t>2</a:t>
                </a:r>
                <a:r>
                  <a:rPr lang="en-US"/>
                  <a:t>e</a:t>
                </a:r>
              </a:p>
            </c:rich>
          </c:tx>
          <c:layout>
            <c:manualLayout>
              <c:xMode val="edge"/>
              <c:yMode val="edge"/>
              <c:x val="3.6374343118820138E-2"/>
              <c:y val="0.2618609467417588"/>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66976"/>
        <c:crosses val="autoZero"/>
        <c:crossBetween val="between"/>
      </c:valAx>
      <c:spPr>
        <a:noFill/>
        <a:ln>
          <a:noFill/>
        </a:ln>
        <a:effectLst/>
      </c:spPr>
    </c:plotArea>
    <c:legend>
      <c:legendPos val="t"/>
      <c:layout>
        <c:manualLayout>
          <c:xMode val="edge"/>
          <c:yMode val="edge"/>
          <c:x val="2.6273749711249707E-2"/>
          <c:y val="3.8985684579411997E-2"/>
          <c:w val="0.96578814391314372"/>
          <c:h val="9.766620027099653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'Chapter 8 - Assessment'!$B$81</c:f>
              <c:strCache>
                <c:ptCount val="1"/>
                <c:pt idx="0">
                  <c:v>Total CH4 emissions</c:v>
                </c:pt>
              </c:strCache>
            </c:strRef>
          </c:tx>
          <c:spPr>
            <a:solidFill>
              <a:srgbClr val="B0ABF4"/>
            </a:solidFill>
            <a:ln>
              <a:noFill/>
            </a:ln>
            <a:effectLst/>
          </c:spPr>
          <c:invertIfNegative val="0"/>
          <c:cat>
            <c:strRef>
              <c:f>'Chapter 8 - Assessment'!$D$76:$X$76</c:f>
              <c:strCache>
                <c:ptCount val="21"/>
                <c:pt idx="0">
                  <c:v>t</c:v>
                </c:pt>
                <c:pt idx="1">
                  <c:v>t+1</c:v>
                </c:pt>
                <c:pt idx="2">
                  <c:v>t+2</c:v>
                </c:pt>
                <c:pt idx="3">
                  <c:v>t+3</c:v>
                </c:pt>
                <c:pt idx="4">
                  <c:v>t+4</c:v>
                </c:pt>
                <c:pt idx="5">
                  <c:v>t+5</c:v>
                </c:pt>
                <c:pt idx="6">
                  <c:v>t+6</c:v>
                </c:pt>
                <c:pt idx="7">
                  <c:v>t+7</c:v>
                </c:pt>
                <c:pt idx="8">
                  <c:v>t+8</c:v>
                </c:pt>
                <c:pt idx="9">
                  <c:v>t+9</c:v>
                </c:pt>
                <c:pt idx="10">
                  <c:v>t+10</c:v>
                </c:pt>
                <c:pt idx="11">
                  <c:v>t+11</c:v>
                </c:pt>
                <c:pt idx="12">
                  <c:v>t+12</c:v>
                </c:pt>
                <c:pt idx="13">
                  <c:v>t+13</c:v>
                </c:pt>
                <c:pt idx="14">
                  <c:v>t+14</c:v>
                </c:pt>
                <c:pt idx="15">
                  <c:v>t+15</c:v>
                </c:pt>
                <c:pt idx="16">
                  <c:v>t+16</c:v>
                </c:pt>
                <c:pt idx="17">
                  <c:v>t+17</c:v>
                </c:pt>
                <c:pt idx="18">
                  <c:v>t+18</c:v>
                </c:pt>
                <c:pt idx="19">
                  <c:v>t+19</c:v>
                </c:pt>
                <c:pt idx="20">
                  <c:v>t+20</c:v>
                </c:pt>
              </c:strCache>
            </c:strRef>
          </c:cat>
          <c:val>
            <c:numRef>
              <c:f>'Chapter 8 - Assessment'!$D$81:$X$81</c:f>
              <c:numCache>
                <c:formatCode>_(* #,##0.0_);_(* \(#,##0.0\);_(* "-"??_);_(@_)</c:formatCode>
                <c:ptCount val="21"/>
                <c:pt idx="0">
                  <c:v>161.43939839999999</c:v>
                </c:pt>
                <c:pt idx="1">
                  <c:v>161.43939839999999</c:v>
                </c:pt>
                <c:pt idx="2">
                  <c:v>161.43939839999999</c:v>
                </c:pt>
                <c:pt idx="3">
                  <c:v>161.43939839999999</c:v>
                </c:pt>
                <c:pt idx="4">
                  <c:v>161.43939839999999</c:v>
                </c:pt>
                <c:pt idx="5">
                  <c:v>161.43939839999999</c:v>
                </c:pt>
                <c:pt idx="6">
                  <c:v>161.43939839999999</c:v>
                </c:pt>
                <c:pt idx="7">
                  <c:v>161.43939839999999</c:v>
                </c:pt>
                <c:pt idx="8">
                  <c:v>161.43939839999999</c:v>
                </c:pt>
                <c:pt idx="9">
                  <c:v>161.43939839999999</c:v>
                </c:pt>
                <c:pt idx="10">
                  <c:v>161.43939839999999</c:v>
                </c:pt>
                <c:pt idx="11">
                  <c:v>161.43939839999999</c:v>
                </c:pt>
                <c:pt idx="12">
                  <c:v>161.43939839999999</c:v>
                </c:pt>
                <c:pt idx="13">
                  <c:v>161.43939839999999</c:v>
                </c:pt>
                <c:pt idx="14">
                  <c:v>161.43939839999999</c:v>
                </c:pt>
                <c:pt idx="15">
                  <c:v>161.43939839999999</c:v>
                </c:pt>
                <c:pt idx="16">
                  <c:v>161.43939839999999</c:v>
                </c:pt>
                <c:pt idx="17">
                  <c:v>161.43939839999999</c:v>
                </c:pt>
                <c:pt idx="18">
                  <c:v>161.43939839999999</c:v>
                </c:pt>
                <c:pt idx="19">
                  <c:v>161.43939839999999</c:v>
                </c:pt>
                <c:pt idx="20">
                  <c:v>161.43939839999999</c:v>
                </c:pt>
              </c:numCache>
            </c:numRef>
          </c:val>
          <c:extLst>
            <c:ext xmlns:c16="http://schemas.microsoft.com/office/drawing/2014/chart" uri="{C3380CC4-5D6E-409C-BE32-E72D297353CC}">
              <c16:uniqueId val="{00000000-0D6D-49D1-990D-8A73FACB3FC9}"/>
            </c:ext>
          </c:extLst>
        </c:ser>
        <c:ser>
          <c:idx val="1"/>
          <c:order val="1"/>
          <c:tx>
            <c:strRef>
              <c:f>'Chapter 8 - Assessment'!$B$86</c:f>
              <c:strCache>
                <c:ptCount val="1"/>
                <c:pt idx="0">
                  <c:v>Total direct N2O emissions</c:v>
                </c:pt>
              </c:strCache>
            </c:strRef>
          </c:tx>
          <c:spPr>
            <a:solidFill>
              <a:srgbClr val="FFD7B4"/>
            </a:solidFill>
            <a:ln>
              <a:noFill/>
            </a:ln>
            <a:effectLst/>
          </c:spPr>
          <c:invertIfNegative val="0"/>
          <c:cat>
            <c:strRef>
              <c:f>'Chapter 8 - Assessment'!$D$76:$X$76</c:f>
              <c:strCache>
                <c:ptCount val="21"/>
                <c:pt idx="0">
                  <c:v>t</c:v>
                </c:pt>
                <c:pt idx="1">
                  <c:v>t+1</c:v>
                </c:pt>
                <c:pt idx="2">
                  <c:v>t+2</c:v>
                </c:pt>
                <c:pt idx="3">
                  <c:v>t+3</c:v>
                </c:pt>
                <c:pt idx="4">
                  <c:v>t+4</c:v>
                </c:pt>
                <c:pt idx="5">
                  <c:v>t+5</c:v>
                </c:pt>
                <c:pt idx="6">
                  <c:v>t+6</c:v>
                </c:pt>
                <c:pt idx="7">
                  <c:v>t+7</c:v>
                </c:pt>
                <c:pt idx="8">
                  <c:v>t+8</c:v>
                </c:pt>
                <c:pt idx="9">
                  <c:v>t+9</c:v>
                </c:pt>
                <c:pt idx="10">
                  <c:v>t+10</c:v>
                </c:pt>
                <c:pt idx="11">
                  <c:v>t+11</c:v>
                </c:pt>
                <c:pt idx="12">
                  <c:v>t+12</c:v>
                </c:pt>
                <c:pt idx="13">
                  <c:v>t+13</c:v>
                </c:pt>
                <c:pt idx="14">
                  <c:v>t+14</c:v>
                </c:pt>
                <c:pt idx="15">
                  <c:v>t+15</c:v>
                </c:pt>
                <c:pt idx="16">
                  <c:v>t+16</c:v>
                </c:pt>
                <c:pt idx="17">
                  <c:v>t+17</c:v>
                </c:pt>
                <c:pt idx="18">
                  <c:v>t+18</c:v>
                </c:pt>
                <c:pt idx="19">
                  <c:v>t+19</c:v>
                </c:pt>
                <c:pt idx="20">
                  <c:v>t+20</c:v>
                </c:pt>
              </c:strCache>
            </c:strRef>
          </c:cat>
          <c:val>
            <c:numRef>
              <c:f>'Chapter 8 - Assessment'!$D$86:$X$86</c:f>
              <c:numCache>
                <c:formatCode>_(* #,##0.00_);_(* \(#,##0.00\);_(* "-"??_);_(@_)</c:formatCode>
                <c:ptCount val="21"/>
                <c:pt idx="0">
                  <c:v>10.172511991907053</c:v>
                </c:pt>
                <c:pt idx="1">
                  <c:v>10.172511991907053</c:v>
                </c:pt>
                <c:pt idx="2">
                  <c:v>10.172511991907053</c:v>
                </c:pt>
                <c:pt idx="3">
                  <c:v>10.172511991907053</c:v>
                </c:pt>
                <c:pt idx="4">
                  <c:v>10.172511991907053</c:v>
                </c:pt>
                <c:pt idx="5">
                  <c:v>10.172511991907053</c:v>
                </c:pt>
                <c:pt idx="6">
                  <c:v>10.172511991907053</c:v>
                </c:pt>
                <c:pt idx="7">
                  <c:v>10.172511991907053</c:v>
                </c:pt>
                <c:pt idx="8">
                  <c:v>10.172511991907053</c:v>
                </c:pt>
                <c:pt idx="9">
                  <c:v>10.172511991907053</c:v>
                </c:pt>
                <c:pt idx="10">
                  <c:v>10.172511991907053</c:v>
                </c:pt>
                <c:pt idx="11">
                  <c:v>10.172511991907053</c:v>
                </c:pt>
                <c:pt idx="12">
                  <c:v>10.172511991907053</c:v>
                </c:pt>
                <c:pt idx="13">
                  <c:v>10.172511991907053</c:v>
                </c:pt>
                <c:pt idx="14">
                  <c:v>10.172511991907053</c:v>
                </c:pt>
                <c:pt idx="15">
                  <c:v>10.172511991907053</c:v>
                </c:pt>
                <c:pt idx="16">
                  <c:v>10.172511991907053</c:v>
                </c:pt>
                <c:pt idx="17">
                  <c:v>10.172511991907053</c:v>
                </c:pt>
                <c:pt idx="18">
                  <c:v>10.172511991907053</c:v>
                </c:pt>
                <c:pt idx="19">
                  <c:v>10.172511991907053</c:v>
                </c:pt>
                <c:pt idx="20">
                  <c:v>10.172511991907053</c:v>
                </c:pt>
              </c:numCache>
            </c:numRef>
          </c:val>
          <c:extLst>
            <c:ext xmlns:c16="http://schemas.microsoft.com/office/drawing/2014/chart" uri="{C3380CC4-5D6E-409C-BE32-E72D297353CC}">
              <c16:uniqueId val="{00000001-0D6D-49D1-990D-8A73FACB3FC9}"/>
            </c:ext>
          </c:extLst>
        </c:ser>
        <c:ser>
          <c:idx val="2"/>
          <c:order val="2"/>
          <c:tx>
            <c:strRef>
              <c:f>'Chapter 8 - Assessment'!$B$88</c:f>
              <c:strCache>
                <c:ptCount val="1"/>
                <c:pt idx="0">
                  <c:v>Total WOM emissions</c:v>
                </c:pt>
              </c:strCache>
            </c:strRef>
          </c:tx>
          <c:spPr>
            <a:no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'Chapter 8 - Assessment'!$D$76:$X$76</c:f>
              <c:strCache>
                <c:ptCount val="21"/>
                <c:pt idx="0">
                  <c:v>t</c:v>
                </c:pt>
                <c:pt idx="1">
                  <c:v>t+1</c:v>
                </c:pt>
                <c:pt idx="2">
                  <c:v>t+2</c:v>
                </c:pt>
                <c:pt idx="3">
                  <c:v>t+3</c:v>
                </c:pt>
                <c:pt idx="4">
                  <c:v>t+4</c:v>
                </c:pt>
                <c:pt idx="5">
                  <c:v>t+5</c:v>
                </c:pt>
                <c:pt idx="6">
                  <c:v>t+6</c:v>
                </c:pt>
                <c:pt idx="7">
                  <c:v>t+7</c:v>
                </c:pt>
                <c:pt idx="8">
                  <c:v>t+8</c:v>
                </c:pt>
                <c:pt idx="9">
                  <c:v>t+9</c:v>
                </c:pt>
                <c:pt idx="10">
                  <c:v>t+10</c:v>
                </c:pt>
                <c:pt idx="11">
                  <c:v>t+11</c:v>
                </c:pt>
                <c:pt idx="12">
                  <c:v>t+12</c:v>
                </c:pt>
                <c:pt idx="13">
                  <c:v>t+13</c:v>
                </c:pt>
                <c:pt idx="14">
                  <c:v>t+14</c:v>
                </c:pt>
                <c:pt idx="15">
                  <c:v>t+15</c:v>
                </c:pt>
                <c:pt idx="16">
                  <c:v>t+16</c:v>
                </c:pt>
                <c:pt idx="17">
                  <c:v>t+17</c:v>
                </c:pt>
                <c:pt idx="18">
                  <c:v>t+18</c:v>
                </c:pt>
                <c:pt idx="19">
                  <c:v>t+19</c:v>
                </c:pt>
                <c:pt idx="20">
                  <c:v>t+20</c:v>
                </c:pt>
              </c:strCache>
            </c:strRef>
          </c:cat>
          <c:val>
            <c:numRef>
              <c:f>'Chapter 8 - Assessment'!$D$88:$X$88</c:f>
              <c:numCache>
                <c:formatCode>_(* #,##0_);_(* \(#,##0\);_(* "-"??_);_(@_)</c:formatCode>
                <c:ptCount val="21"/>
                <c:pt idx="0">
                  <c:v>171.61191039190703</c:v>
                </c:pt>
                <c:pt idx="1">
                  <c:v>171.61191039190703</c:v>
                </c:pt>
                <c:pt idx="2">
                  <c:v>171.61191039190703</c:v>
                </c:pt>
                <c:pt idx="3">
                  <c:v>171.61191039190703</c:v>
                </c:pt>
                <c:pt idx="4">
                  <c:v>171.61191039190703</c:v>
                </c:pt>
                <c:pt idx="5">
                  <c:v>171.61191039190703</c:v>
                </c:pt>
                <c:pt idx="6">
                  <c:v>171.61191039190703</c:v>
                </c:pt>
                <c:pt idx="7">
                  <c:v>171.61191039190703</c:v>
                </c:pt>
                <c:pt idx="8">
                  <c:v>171.61191039190703</c:v>
                </c:pt>
                <c:pt idx="9">
                  <c:v>171.61191039190703</c:v>
                </c:pt>
                <c:pt idx="10">
                  <c:v>171.61191039190703</c:v>
                </c:pt>
                <c:pt idx="11">
                  <c:v>171.61191039190703</c:v>
                </c:pt>
                <c:pt idx="12">
                  <c:v>171.61191039190703</c:v>
                </c:pt>
                <c:pt idx="13">
                  <c:v>171.61191039190703</c:v>
                </c:pt>
                <c:pt idx="14">
                  <c:v>171.61191039190703</c:v>
                </c:pt>
                <c:pt idx="15">
                  <c:v>171.61191039190703</c:v>
                </c:pt>
                <c:pt idx="16">
                  <c:v>171.61191039190703</c:v>
                </c:pt>
                <c:pt idx="17">
                  <c:v>171.61191039190703</c:v>
                </c:pt>
                <c:pt idx="18">
                  <c:v>171.61191039190703</c:v>
                </c:pt>
                <c:pt idx="19">
                  <c:v>171.61191039190703</c:v>
                </c:pt>
                <c:pt idx="20">
                  <c:v>171.61191039190703</c:v>
                </c:pt>
              </c:numCache>
            </c:numRef>
          </c:val>
          <c:extLst>
            <c:ext xmlns:c16="http://schemas.microsoft.com/office/drawing/2014/chart" uri="{C3380CC4-5D6E-409C-BE32-E72D297353CC}">
              <c16:uniqueId val="{00000002-0D6D-49D1-990D-8A73FACB3FC9}"/>
            </c:ext>
          </c:extLst>
        </c:ser>
        <c:dLbls>
          <c:showLegendKey val="0"/>
          <c:showVal val="0"/>
          <c:showCatName val="0"/>
          <c:showSerName val="0"/>
          <c:showPercent val="0"/>
          <c:showBubbleSize val="0"/>
        </c:dLbls>
        <c:gapWidth val="150"/>
        <c:overlap val="100"/>
        <c:axId val="61166976"/>
        <c:axId val="61168656"/>
      </c:barChart>
      <c:catAx>
        <c:axId val="611669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Year</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68656"/>
        <c:crosses val="autoZero"/>
        <c:auto val="1"/>
        <c:lblAlgn val="ctr"/>
        <c:lblOffset val="100"/>
        <c:noMultiLvlLbl val="0"/>
      </c:catAx>
      <c:valAx>
        <c:axId val="61168656"/>
        <c:scaling>
          <c:orientation val="minMax"/>
          <c:max val="20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GHG emissoins,</a:t>
                </a:r>
                <a:r>
                  <a:rPr lang="en-US" baseline="0"/>
                  <a:t> Gg CO2e</a:t>
                </a:r>
                <a:endParaRPr lang="en-US"/>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66976"/>
        <c:crosses val="autoZero"/>
        <c:crossBetween val="between"/>
      </c:valAx>
      <c:spPr>
        <a:noFill/>
        <a:ln>
          <a:noFill/>
        </a:ln>
        <a:effectLst/>
      </c:spPr>
    </c:plotArea>
    <c:legend>
      <c:legendPos val="t"/>
      <c:legendEntry>
        <c:idx val="2"/>
        <c:delete val="1"/>
      </c:legendEntry>
      <c:layout>
        <c:manualLayout>
          <c:xMode val="edge"/>
          <c:yMode val="edge"/>
          <c:x val="0.19887390503338773"/>
          <c:y val="1.6780611126954573E-2"/>
          <c:w val="0.69073514672378433"/>
          <c:h val="9.73953716784244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'Chapter 8 - Assessment'!$B$102</c:f>
              <c:strCache>
                <c:ptCount val="1"/>
                <c:pt idx="0">
                  <c:v>Total CH4 emissions</c:v>
                </c:pt>
              </c:strCache>
            </c:strRef>
          </c:tx>
          <c:spPr>
            <a:solidFill>
              <a:srgbClr val="B0ABF4"/>
            </a:solidFill>
            <a:ln>
              <a:noFill/>
            </a:ln>
            <a:effectLst/>
          </c:spPr>
          <c:invertIfNegative val="0"/>
          <c:cat>
            <c:strRef>
              <c:f>'Chapter 8 - Assessment'!$D$76:$X$76</c:f>
              <c:strCache>
                <c:ptCount val="21"/>
                <c:pt idx="0">
                  <c:v>t</c:v>
                </c:pt>
                <c:pt idx="1">
                  <c:v>t+1</c:v>
                </c:pt>
                <c:pt idx="2">
                  <c:v>t+2</c:v>
                </c:pt>
                <c:pt idx="3">
                  <c:v>t+3</c:v>
                </c:pt>
                <c:pt idx="4">
                  <c:v>t+4</c:v>
                </c:pt>
                <c:pt idx="5">
                  <c:v>t+5</c:v>
                </c:pt>
                <c:pt idx="6">
                  <c:v>t+6</c:v>
                </c:pt>
                <c:pt idx="7">
                  <c:v>t+7</c:v>
                </c:pt>
                <c:pt idx="8">
                  <c:v>t+8</c:v>
                </c:pt>
                <c:pt idx="9">
                  <c:v>t+9</c:v>
                </c:pt>
                <c:pt idx="10">
                  <c:v>t+10</c:v>
                </c:pt>
                <c:pt idx="11">
                  <c:v>t+11</c:v>
                </c:pt>
                <c:pt idx="12">
                  <c:v>t+12</c:v>
                </c:pt>
                <c:pt idx="13">
                  <c:v>t+13</c:v>
                </c:pt>
                <c:pt idx="14">
                  <c:v>t+14</c:v>
                </c:pt>
                <c:pt idx="15">
                  <c:v>t+15</c:v>
                </c:pt>
                <c:pt idx="16">
                  <c:v>t+16</c:v>
                </c:pt>
                <c:pt idx="17">
                  <c:v>t+17</c:v>
                </c:pt>
                <c:pt idx="18">
                  <c:v>t+18</c:v>
                </c:pt>
                <c:pt idx="19">
                  <c:v>t+19</c:v>
                </c:pt>
                <c:pt idx="20">
                  <c:v>t+20</c:v>
                </c:pt>
              </c:strCache>
            </c:strRef>
          </c:cat>
          <c:val>
            <c:numRef>
              <c:f>'Chapter 8 - Assessment'!$D$102:$X$102</c:f>
              <c:numCache>
                <c:formatCode>_(* #,##0.0_);_(* \(#,##0.0\);_(* "-"??_);_(@_)</c:formatCode>
                <c:ptCount val="21"/>
                <c:pt idx="0">
                  <c:v>161.43939839999999</c:v>
                </c:pt>
                <c:pt idx="1">
                  <c:v>161.43939839999999</c:v>
                </c:pt>
                <c:pt idx="2">
                  <c:v>161.43939839999999</c:v>
                </c:pt>
                <c:pt idx="3">
                  <c:v>161.43939839999999</c:v>
                </c:pt>
                <c:pt idx="4">
                  <c:v>161.43939839999999</c:v>
                </c:pt>
                <c:pt idx="5">
                  <c:v>161.43939839999999</c:v>
                </c:pt>
                <c:pt idx="6">
                  <c:v>161.43939839999999</c:v>
                </c:pt>
                <c:pt idx="7">
                  <c:v>161.43939839999999</c:v>
                </c:pt>
                <c:pt idx="8">
                  <c:v>161.43939839999999</c:v>
                </c:pt>
                <c:pt idx="9">
                  <c:v>161.43939839999999</c:v>
                </c:pt>
                <c:pt idx="10">
                  <c:v>161.43939839999999</c:v>
                </c:pt>
                <c:pt idx="11">
                  <c:v>158.56577710848001</c:v>
                </c:pt>
                <c:pt idx="12">
                  <c:v>155.69215581696002</c:v>
                </c:pt>
                <c:pt idx="13">
                  <c:v>152.81853452544001</c:v>
                </c:pt>
                <c:pt idx="14">
                  <c:v>149.94491323392</c:v>
                </c:pt>
                <c:pt idx="15">
                  <c:v>147.07129194239999</c:v>
                </c:pt>
                <c:pt idx="16">
                  <c:v>144.19767065088001</c:v>
                </c:pt>
                <c:pt idx="17">
                  <c:v>141.32404935936</c:v>
                </c:pt>
                <c:pt idx="18">
                  <c:v>138.45042806784005</c:v>
                </c:pt>
                <c:pt idx="19">
                  <c:v>135.57680677632001</c:v>
                </c:pt>
                <c:pt idx="20">
                  <c:v>132.70318548480003</c:v>
                </c:pt>
              </c:numCache>
            </c:numRef>
          </c:val>
          <c:extLst>
            <c:ext xmlns:c16="http://schemas.microsoft.com/office/drawing/2014/chart" uri="{C3380CC4-5D6E-409C-BE32-E72D297353CC}">
              <c16:uniqueId val="{00000000-8623-4DF2-8E06-FCE110C662E8}"/>
            </c:ext>
          </c:extLst>
        </c:ser>
        <c:ser>
          <c:idx val="1"/>
          <c:order val="1"/>
          <c:tx>
            <c:strRef>
              <c:f>'Chapter 8 - Assessment'!$B$109</c:f>
              <c:strCache>
                <c:ptCount val="1"/>
                <c:pt idx="0">
                  <c:v>Total direct N2O emissions</c:v>
                </c:pt>
              </c:strCache>
            </c:strRef>
          </c:tx>
          <c:spPr>
            <a:solidFill>
              <a:srgbClr val="FFD7B4"/>
            </a:solidFill>
            <a:ln>
              <a:noFill/>
            </a:ln>
            <a:effectLst/>
          </c:spPr>
          <c:invertIfNegative val="0"/>
          <c:cat>
            <c:strRef>
              <c:f>'Chapter 8 - Assessment'!$D$76:$X$76</c:f>
              <c:strCache>
                <c:ptCount val="21"/>
                <c:pt idx="0">
                  <c:v>t</c:v>
                </c:pt>
                <c:pt idx="1">
                  <c:v>t+1</c:v>
                </c:pt>
                <c:pt idx="2">
                  <c:v>t+2</c:v>
                </c:pt>
                <c:pt idx="3">
                  <c:v>t+3</c:v>
                </c:pt>
                <c:pt idx="4">
                  <c:v>t+4</c:v>
                </c:pt>
                <c:pt idx="5">
                  <c:v>t+5</c:v>
                </c:pt>
                <c:pt idx="6">
                  <c:v>t+6</c:v>
                </c:pt>
                <c:pt idx="7">
                  <c:v>t+7</c:v>
                </c:pt>
                <c:pt idx="8">
                  <c:v>t+8</c:v>
                </c:pt>
                <c:pt idx="9">
                  <c:v>t+9</c:v>
                </c:pt>
                <c:pt idx="10">
                  <c:v>t+10</c:v>
                </c:pt>
                <c:pt idx="11">
                  <c:v>t+11</c:v>
                </c:pt>
                <c:pt idx="12">
                  <c:v>t+12</c:v>
                </c:pt>
                <c:pt idx="13">
                  <c:v>t+13</c:v>
                </c:pt>
                <c:pt idx="14">
                  <c:v>t+14</c:v>
                </c:pt>
                <c:pt idx="15">
                  <c:v>t+15</c:v>
                </c:pt>
                <c:pt idx="16">
                  <c:v>t+16</c:v>
                </c:pt>
                <c:pt idx="17">
                  <c:v>t+17</c:v>
                </c:pt>
                <c:pt idx="18">
                  <c:v>t+18</c:v>
                </c:pt>
                <c:pt idx="19">
                  <c:v>t+19</c:v>
                </c:pt>
                <c:pt idx="20">
                  <c:v>t+20</c:v>
                </c:pt>
              </c:strCache>
            </c:strRef>
          </c:cat>
          <c:val>
            <c:numRef>
              <c:f>'Chapter 8 - Assessment'!$D$109:$X$109</c:f>
              <c:numCache>
                <c:formatCode>_(* #,##0.00_);_(* \(#,##0.00\);_(* "-"??_);_(@_)</c:formatCode>
                <c:ptCount val="21"/>
                <c:pt idx="0">
                  <c:v>10.178468885085472</c:v>
                </c:pt>
                <c:pt idx="1">
                  <c:v>10.178468885085472</c:v>
                </c:pt>
                <c:pt idx="2">
                  <c:v>10.178468885085472</c:v>
                </c:pt>
                <c:pt idx="3">
                  <c:v>10.178468885085472</c:v>
                </c:pt>
                <c:pt idx="4">
                  <c:v>10.178468885085472</c:v>
                </c:pt>
                <c:pt idx="5">
                  <c:v>10.178468885085472</c:v>
                </c:pt>
                <c:pt idx="6">
                  <c:v>10.178468885085472</c:v>
                </c:pt>
                <c:pt idx="7">
                  <c:v>10.178468885085472</c:v>
                </c:pt>
                <c:pt idx="8">
                  <c:v>10.178468885085472</c:v>
                </c:pt>
                <c:pt idx="9">
                  <c:v>10.178468885085472</c:v>
                </c:pt>
                <c:pt idx="10">
                  <c:v>10.178468885085472</c:v>
                </c:pt>
                <c:pt idx="11">
                  <c:v>10.314054723165473</c:v>
                </c:pt>
                <c:pt idx="12">
                  <c:v>10.449640561245474</c:v>
                </c:pt>
                <c:pt idx="13">
                  <c:v>10.585226399325474</c:v>
                </c:pt>
                <c:pt idx="14">
                  <c:v>10.720812237405475</c:v>
                </c:pt>
                <c:pt idx="15">
                  <c:v>10.856398075485471</c:v>
                </c:pt>
                <c:pt idx="16">
                  <c:v>10.991983913565473</c:v>
                </c:pt>
                <c:pt idx="17">
                  <c:v>11.127569751645471</c:v>
                </c:pt>
                <c:pt idx="18">
                  <c:v>11.263155589725471</c:v>
                </c:pt>
                <c:pt idx="19">
                  <c:v>11.39874142780547</c:v>
                </c:pt>
                <c:pt idx="20">
                  <c:v>11.534327265885469</c:v>
                </c:pt>
              </c:numCache>
            </c:numRef>
          </c:val>
          <c:extLst>
            <c:ext xmlns:c16="http://schemas.microsoft.com/office/drawing/2014/chart" uri="{C3380CC4-5D6E-409C-BE32-E72D297353CC}">
              <c16:uniqueId val="{00000001-8623-4DF2-8E06-FCE110C662E8}"/>
            </c:ext>
          </c:extLst>
        </c:ser>
        <c:ser>
          <c:idx val="2"/>
          <c:order val="2"/>
          <c:tx>
            <c:strRef>
              <c:f>'Chapter 8 - Assessment'!$B$111</c:f>
              <c:strCache>
                <c:ptCount val="1"/>
                <c:pt idx="0">
                  <c:v>Total WAM emissions</c:v>
                </c:pt>
              </c:strCache>
            </c:strRef>
          </c:tx>
          <c:spPr>
            <a:no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'Chapter 8 - Assessment'!$D$76:$X$76</c:f>
              <c:strCache>
                <c:ptCount val="21"/>
                <c:pt idx="0">
                  <c:v>t</c:v>
                </c:pt>
                <c:pt idx="1">
                  <c:v>t+1</c:v>
                </c:pt>
                <c:pt idx="2">
                  <c:v>t+2</c:v>
                </c:pt>
                <c:pt idx="3">
                  <c:v>t+3</c:v>
                </c:pt>
                <c:pt idx="4">
                  <c:v>t+4</c:v>
                </c:pt>
                <c:pt idx="5">
                  <c:v>t+5</c:v>
                </c:pt>
                <c:pt idx="6">
                  <c:v>t+6</c:v>
                </c:pt>
                <c:pt idx="7">
                  <c:v>t+7</c:v>
                </c:pt>
                <c:pt idx="8">
                  <c:v>t+8</c:v>
                </c:pt>
                <c:pt idx="9">
                  <c:v>t+9</c:v>
                </c:pt>
                <c:pt idx="10">
                  <c:v>t+10</c:v>
                </c:pt>
                <c:pt idx="11">
                  <c:v>t+11</c:v>
                </c:pt>
                <c:pt idx="12">
                  <c:v>t+12</c:v>
                </c:pt>
                <c:pt idx="13">
                  <c:v>t+13</c:v>
                </c:pt>
                <c:pt idx="14">
                  <c:v>t+14</c:v>
                </c:pt>
                <c:pt idx="15">
                  <c:v>t+15</c:v>
                </c:pt>
                <c:pt idx="16">
                  <c:v>t+16</c:v>
                </c:pt>
                <c:pt idx="17">
                  <c:v>t+17</c:v>
                </c:pt>
                <c:pt idx="18">
                  <c:v>t+18</c:v>
                </c:pt>
                <c:pt idx="19">
                  <c:v>t+19</c:v>
                </c:pt>
                <c:pt idx="20">
                  <c:v>t+20</c:v>
                </c:pt>
              </c:strCache>
            </c:strRef>
          </c:cat>
          <c:val>
            <c:numRef>
              <c:f>'Chapter 8 - Assessment'!$D$111:$X$111</c:f>
              <c:numCache>
                <c:formatCode>_(* #,##0_);_(* \(#,##0\);_(* "-"??_);_(@_)</c:formatCode>
                <c:ptCount val="21"/>
                <c:pt idx="0">
                  <c:v>171.61786728508545</c:v>
                </c:pt>
                <c:pt idx="1">
                  <c:v>171.61786728508545</c:v>
                </c:pt>
                <c:pt idx="2">
                  <c:v>171.61786728508545</c:v>
                </c:pt>
                <c:pt idx="3">
                  <c:v>171.61786728508545</c:v>
                </c:pt>
                <c:pt idx="4">
                  <c:v>171.61786728508545</c:v>
                </c:pt>
                <c:pt idx="5">
                  <c:v>171.61786728508545</c:v>
                </c:pt>
                <c:pt idx="6">
                  <c:v>171.61786728508545</c:v>
                </c:pt>
                <c:pt idx="7">
                  <c:v>171.61786728508545</c:v>
                </c:pt>
                <c:pt idx="8">
                  <c:v>171.61786728508545</c:v>
                </c:pt>
                <c:pt idx="9">
                  <c:v>171.61786728508545</c:v>
                </c:pt>
                <c:pt idx="10">
                  <c:v>171.61786728508545</c:v>
                </c:pt>
                <c:pt idx="11">
                  <c:v>168.87983183164548</c:v>
                </c:pt>
                <c:pt idx="12">
                  <c:v>166.1417963782055</c:v>
                </c:pt>
                <c:pt idx="13">
                  <c:v>163.40376092476549</c:v>
                </c:pt>
                <c:pt idx="14">
                  <c:v>160.66572547132549</c:v>
                </c:pt>
                <c:pt idx="15">
                  <c:v>157.92769001788545</c:v>
                </c:pt>
                <c:pt idx="16">
                  <c:v>155.18965456444548</c:v>
                </c:pt>
                <c:pt idx="17">
                  <c:v>152.45161911100547</c:v>
                </c:pt>
                <c:pt idx="18">
                  <c:v>149.71358365756552</c:v>
                </c:pt>
                <c:pt idx="19">
                  <c:v>146.97554820412549</c:v>
                </c:pt>
                <c:pt idx="20">
                  <c:v>144.23751275068551</c:v>
                </c:pt>
              </c:numCache>
            </c:numRef>
          </c:val>
          <c:extLst>
            <c:ext xmlns:c16="http://schemas.microsoft.com/office/drawing/2014/chart" uri="{C3380CC4-5D6E-409C-BE32-E72D297353CC}">
              <c16:uniqueId val="{00000002-8623-4DF2-8E06-FCE110C662E8}"/>
            </c:ext>
          </c:extLst>
        </c:ser>
        <c:dLbls>
          <c:showLegendKey val="0"/>
          <c:showVal val="0"/>
          <c:showCatName val="0"/>
          <c:showSerName val="0"/>
          <c:showPercent val="0"/>
          <c:showBubbleSize val="0"/>
        </c:dLbls>
        <c:gapWidth val="150"/>
        <c:overlap val="100"/>
        <c:axId val="61166976"/>
        <c:axId val="61168656"/>
      </c:barChart>
      <c:catAx>
        <c:axId val="611669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Year</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68656"/>
        <c:crosses val="autoZero"/>
        <c:auto val="1"/>
        <c:lblAlgn val="ctr"/>
        <c:lblOffset val="100"/>
        <c:noMultiLvlLbl val="0"/>
      </c:catAx>
      <c:valAx>
        <c:axId val="61168656"/>
        <c:scaling>
          <c:orientation val="minMax"/>
          <c:max val="20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b="0" i="0" baseline="0">
                    <a:effectLst/>
                  </a:rPr>
                  <a:t>GHG emissoins, Gg CO</a:t>
                </a:r>
                <a:r>
                  <a:rPr lang="en-US" sz="1100" b="0" i="0" baseline="-25000">
                    <a:effectLst/>
                  </a:rPr>
                  <a:t>2</a:t>
                </a:r>
                <a:r>
                  <a:rPr lang="en-US" sz="1100" b="0" i="0" baseline="0">
                    <a:effectLst/>
                  </a:rPr>
                  <a:t>e</a:t>
                </a:r>
                <a:endParaRPr lang="en-US" sz="1100">
                  <a:effectLst/>
                </a:endParaRPr>
              </a:p>
            </c:rich>
          </c:tx>
          <c:layout>
            <c:manualLayout>
              <c:xMode val="edge"/>
              <c:yMode val="edge"/>
              <c:x val="8.3591213952229262E-3"/>
              <c:y val="0.3118912192482085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66976"/>
        <c:crosses val="autoZero"/>
        <c:crossBetween val="between"/>
      </c:valAx>
      <c:spPr>
        <a:noFill/>
        <a:ln>
          <a:noFill/>
        </a:ln>
        <a:effectLst/>
      </c:spPr>
    </c:plotArea>
    <c:legend>
      <c:legendPos val="t"/>
      <c:legendEntry>
        <c:idx val="2"/>
        <c:delete val="1"/>
      </c:legendEntry>
      <c:layout>
        <c:manualLayout>
          <c:xMode val="edge"/>
          <c:yMode val="edge"/>
          <c:x val="0.19887393514055215"/>
          <c:y val="9.014648344939832E-3"/>
          <c:w val="0.69073514672378433"/>
          <c:h val="9.73953716784244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'Chapter 8 - Assessment'!$B$74</c:f>
              <c:strCache>
                <c:ptCount val="1"/>
                <c:pt idx="0">
                  <c:v>Without Measure (WOM)</c:v>
                </c:pt>
              </c:strCache>
            </c:strRef>
          </c:tx>
          <c:spPr>
            <a:ln w="28575" cap="rnd">
              <a:solidFill>
                <a:schemeClr val="bg1">
                  <a:lumMod val="50000"/>
                </a:schemeClr>
              </a:solidFill>
              <a:round/>
            </a:ln>
            <a:effectLst/>
          </c:spPr>
          <c:marker>
            <c:symbol val="circle"/>
            <c:size val="5"/>
            <c:spPr>
              <a:solidFill>
                <a:schemeClr val="bg1">
                  <a:lumMod val="50000"/>
                </a:schemeClr>
              </a:solidFill>
              <a:ln w="9525">
                <a:solidFill>
                  <a:schemeClr val="bg1">
                    <a:lumMod val="50000"/>
                  </a:schemeClr>
                </a:solidFill>
              </a:ln>
              <a:effectLst/>
            </c:spPr>
          </c:marker>
          <c:val>
            <c:numRef>
              <c:f>'Chapter 8 - Assessment'!$D$88:$X$88</c:f>
              <c:numCache>
                <c:formatCode>_(* #,##0_);_(* \(#,##0\);_(* "-"??_);_(@_)</c:formatCode>
                <c:ptCount val="21"/>
                <c:pt idx="0">
                  <c:v>171.61191039190703</c:v>
                </c:pt>
                <c:pt idx="1">
                  <c:v>171.61191039190703</c:v>
                </c:pt>
                <c:pt idx="2">
                  <c:v>171.61191039190703</c:v>
                </c:pt>
                <c:pt idx="3">
                  <c:v>171.61191039190703</c:v>
                </c:pt>
                <c:pt idx="4">
                  <c:v>171.61191039190703</c:v>
                </c:pt>
                <c:pt idx="5">
                  <c:v>171.61191039190703</c:v>
                </c:pt>
                <c:pt idx="6">
                  <c:v>171.61191039190703</c:v>
                </c:pt>
                <c:pt idx="7">
                  <c:v>171.61191039190703</c:v>
                </c:pt>
                <c:pt idx="8">
                  <c:v>171.61191039190703</c:v>
                </c:pt>
                <c:pt idx="9">
                  <c:v>171.61191039190703</c:v>
                </c:pt>
                <c:pt idx="10">
                  <c:v>171.61191039190703</c:v>
                </c:pt>
                <c:pt idx="11">
                  <c:v>171.61191039190703</c:v>
                </c:pt>
                <c:pt idx="12">
                  <c:v>171.61191039190703</c:v>
                </c:pt>
                <c:pt idx="13">
                  <c:v>171.61191039190703</c:v>
                </c:pt>
                <c:pt idx="14">
                  <c:v>171.61191039190703</c:v>
                </c:pt>
                <c:pt idx="15">
                  <c:v>171.61191039190703</c:v>
                </c:pt>
                <c:pt idx="16">
                  <c:v>171.61191039190703</c:v>
                </c:pt>
                <c:pt idx="17">
                  <c:v>171.61191039190703</c:v>
                </c:pt>
                <c:pt idx="18">
                  <c:v>171.61191039190703</c:v>
                </c:pt>
                <c:pt idx="19">
                  <c:v>171.61191039190703</c:v>
                </c:pt>
                <c:pt idx="20">
                  <c:v>171.61191039190703</c:v>
                </c:pt>
              </c:numCache>
            </c:numRef>
          </c:val>
          <c:smooth val="0"/>
          <c:extLst>
            <c:ext xmlns:c16="http://schemas.microsoft.com/office/drawing/2014/chart" uri="{C3380CC4-5D6E-409C-BE32-E72D297353CC}">
              <c16:uniqueId val="{00000001-1E1D-4B51-A22A-31ADF1A5A2B7}"/>
            </c:ext>
          </c:extLst>
        </c:ser>
        <c:ser>
          <c:idx val="2"/>
          <c:order val="1"/>
          <c:tx>
            <c:v>WAM</c:v>
          </c:tx>
          <c:spPr>
            <a:ln w="28575" cap="rnd">
              <a:solidFill>
                <a:srgbClr val="B0ABF4"/>
              </a:solidFill>
              <a:round/>
            </a:ln>
            <a:effectLst/>
          </c:spPr>
          <c:marker>
            <c:symbol val="circle"/>
            <c:size val="5"/>
            <c:spPr>
              <a:solidFill>
                <a:srgbClr val="B0ABF4"/>
              </a:solidFill>
              <a:ln w="9525">
                <a:solidFill>
                  <a:srgbClr val="B0ABF4"/>
                </a:solidFill>
              </a:ln>
              <a:effectLst/>
            </c:spPr>
          </c:marker>
          <c:cat>
            <c:strRef>
              <c:f>'Chapter 8 - Assessment'!$D$76:$X$76</c:f>
              <c:strCache>
                <c:ptCount val="21"/>
                <c:pt idx="0">
                  <c:v>t</c:v>
                </c:pt>
                <c:pt idx="1">
                  <c:v>t+1</c:v>
                </c:pt>
                <c:pt idx="2">
                  <c:v>t+2</c:v>
                </c:pt>
                <c:pt idx="3">
                  <c:v>t+3</c:v>
                </c:pt>
                <c:pt idx="4">
                  <c:v>t+4</c:v>
                </c:pt>
                <c:pt idx="5">
                  <c:v>t+5</c:v>
                </c:pt>
                <c:pt idx="6">
                  <c:v>t+6</c:v>
                </c:pt>
                <c:pt idx="7">
                  <c:v>t+7</c:v>
                </c:pt>
                <c:pt idx="8">
                  <c:v>t+8</c:v>
                </c:pt>
                <c:pt idx="9">
                  <c:v>t+9</c:v>
                </c:pt>
                <c:pt idx="10">
                  <c:v>t+10</c:v>
                </c:pt>
                <c:pt idx="11">
                  <c:v>t+11</c:v>
                </c:pt>
                <c:pt idx="12">
                  <c:v>t+12</c:v>
                </c:pt>
                <c:pt idx="13">
                  <c:v>t+13</c:v>
                </c:pt>
                <c:pt idx="14">
                  <c:v>t+14</c:v>
                </c:pt>
                <c:pt idx="15">
                  <c:v>t+15</c:v>
                </c:pt>
                <c:pt idx="16">
                  <c:v>t+16</c:v>
                </c:pt>
                <c:pt idx="17">
                  <c:v>t+17</c:v>
                </c:pt>
                <c:pt idx="18">
                  <c:v>t+18</c:v>
                </c:pt>
                <c:pt idx="19">
                  <c:v>t+19</c:v>
                </c:pt>
                <c:pt idx="20">
                  <c:v>t+20</c:v>
                </c:pt>
              </c:strCache>
            </c:strRef>
          </c:cat>
          <c:val>
            <c:numRef>
              <c:f>'Chapter 8 - Assessment'!$D$111:$X$111</c:f>
              <c:numCache>
                <c:formatCode>_(* #,##0_);_(* \(#,##0\);_(* "-"??_);_(@_)</c:formatCode>
                <c:ptCount val="21"/>
                <c:pt idx="0">
                  <c:v>171.61786728508545</c:v>
                </c:pt>
                <c:pt idx="1">
                  <c:v>171.61786728508545</c:v>
                </c:pt>
                <c:pt idx="2">
                  <c:v>171.61786728508545</c:v>
                </c:pt>
                <c:pt idx="3">
                  <c:v>171.61786728508545</c:v>
                </c:pt>
                <c:pt idx="4">
                  <c:v>171.61786728508545</c:v>
                </c:pt>
                <c:pt idx="5">
                  <c:v>171.61786728508545</c:v>
                </c:pt>
                <c:pt idx="6">
                  <c:v>171.61786728508545</c:v>
                </c:pt>
                <c:pt idx="7">
                  <c:v>171.61786728508545</c:v>
                </c:pt>
                <c:pt idx="8">
                  <c:v>171.61786728508545</c:v>
                </c:pt>
                <c:pt idx="9">
                  <c:v>171.61786728508545</c:v>
                </c:pt>
                <c:pt idx="10">
                  <c:v>171.61786728508545</c:v>
                </c:pt>
                <c:pt idx="11">
                  <c:v>168.87983183164548</c:v>
                </c:pt>
                <c:pt idx="12">
                  <c:v>166.1417963782055</c:v>
                </c:pt>
                <c:pt idx="13">
                  <c:v>163.40376092476549</c:v>
                </c:pt>
                <c:pt idx="14">
                  <c:v>160.66572547132549</c:v>
                </c:pt>
                <c:pt idx="15">
                  <c:v>157.92769001788545</c:v>
                </c:pt>
                <c:pt idx="16">
                  <c:v>155.18965456444548</c:v>
                </c:pt>
                <c:pt idx="17">
                  <c:v>152.45161911100547</c:v>
                </c:pt>
                <c:pt idx="18">
                  <c:v>149.71358365756552</c:v>
                </c:pt>
                <c:pt idx="19">
                  <c:v>146.97554820412549</c:v>
                </c:pt>
                <c:pt idx="20">
                  <c:v>144.23751275068551</c:v>
                </c:pt>
              </c:numCache>
            </c:numRef>
          </c:val>
          <c:smooth val="0"/>
          <c:extLst>
            <c:ext xmlns:c16="http://schemas.microsoft.com/office/drawing/2014/chart" uri="{C3380CC4-5D6E-409C-BE32-E72D297353CC}">
              <c16:uniqueId val="{00000000-1E1D-4B51-A22A-31ADF1A5A2B7}"/>
            </c:ext>
          </c:extLst>
        </c:ser>
        <c:dLbls>
          <c:showLegendKey val="0"/>
          <c:showVal val="0"/>
          <c:showCatName val="0"/>
          <c:showSerName val="0"/>
          <c:showPercent val="0"/>
          <c:showBubbleSize val="0"/>
        </c:dLbls>
        <c:marker val="1"/>
        <c:smooth val="0"/>
        <c:axId val="61166976"/>
        <c:axId val="61168656"/>
      </c:lineChart>
      <c:catAx>
        <c:axId val="611669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Year</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68656"/>
        <c:crosses val="autoZero"/>
        <c:auto val="1"/>
        <c:lblAlgn val="ctr"/>
        <c:lblOffset val="100"/>
        <c:noMultiLvlLbl val="0"/>
      </c:catAx>
      <c:valAx>
        <c:axId val="61168656"/>
        <c:scaling>
          <c:orientation val="minMax"/>
          <c:max val="20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b="0" i="0" baseline="0">
                    <a:effectLst/>
                  </a:rPr>
                  <a:t>GHG emissoins, Gg CO</a:t>
                </a:r>
                <a:r>
                  <a:rPr lang="en-US" sz="1100" b="0" i="0" baseline="-25000">
                    <a:effectLst/>
                  </a:rPr>
                  <a:t>2</a:t>
                </a:r>
                <a:r>
                  <a:rPr lang="en-US" sz="1100" b="0" i="0" baseline="0">
                    <a:effectLst/>
                  </a:rPr>
                  <a:t>e</a:t>
                </a:r>
                <a:endParaRPr lang="en-US" sz="1100">
                  <a:effectLst/>
                </a:endParaRP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66976"/>
        <c:crosses val="autoZero"/>
        <c:crossBetween val="between"/>
      </c:valAx>
      <c:spPr>
        <a:noFill/>
        <a:ln>
          <a:noFill/>
        </a:ln>
        <a:effectLst/>
      </c:spPr>
    </c:plotArea>
    <c:legend>
      <c:legendPos val="t"/>
      <c:layout>
        <c:manualLayout>
          <c:xMode val="edge"/>
          <c:yMode val="edge"/>
          <c:x val="0.10917531361248962"/>
          <c:y val="1.6780805001552143E-2"/>
          <c:w val="0.79468185378681033"/>
          <c:h val="5.151564895682927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18911789828756E-2"/>
          <c:y val="0.16163483689765279"/>
          <c:w val="0.91658108821017126"/>
          <c:h val="0.74461071384442856"/>
        </c:manualLayout>
      </c:layout>
      <c:barChart>
        <c:barDir val="col"/>
        <c:grouping val="stacked"/>
        <c:varyColors val="0"/>
        <c:ser>
          <c:idx val="6"/>
          <c:order val="0"/>
          <c:tx>
            <c:strRef>
              <c:f>'Chapter 5 - Assessment'!$B$65</c:f>
              <c:strCache>
                <c:ptCount val="1"/>
                <c:pt idx="0">
                  <c:v>WOM enteric fermentation CH4 emissions (dairy and other cattle)</c:v>
                </c:pt>
              </c:strCache>
            </c:strRef>
          </c:tx>
          <c:spPr>
            <a:solidFill>
              <a:srgbClr val="FFD7B4"/>
            </a:solidFill>
            <a:ln>
              <a:noFill/>
            </a:ln>
            <a:effectLst/>
          </c:spPr>
          <c:invertIfNegative val="0"/>
          <c:cat>
            <c:strRef>
              <c:f>'Chapter 5 - Assessment'!$D$59:$N$59</c:f>
              <c:strCache>
                <c:ptCount val="11"/>
                <c:pt idx="0">
                  <c:v>t</c:v>
                </c:pt>
                <c:pt idx="1">
                  <c:v>t+1</c:v>
                </c:pt>
                <c:pt idx="2">
                  <c:v>t+2</c:v>
                </c:pt>
                <c:pt idx="3">
                  <c:v>t+3</c:v>
                </c:pt>
                <c:pt idx="4">
                  <c:v>t+4</c:v>
                </c:pt>
                <c:pt idx="5">
                  <c:v>t+5</c:v>
                </c:pt>
                <c:pt idx="6">
                  <c:v>t+6</c:v>
                </c:pt>
                <c:pt idx="7">
                  <c:v>t+7</c:v>
                </c:pt>
                <c:pt idx="8">
                  <c:v>t+8</c:v>
                </c:pt>
                <c:pt idx="9">
                  <c:v>t+9</c:v>
                </c:pt>
                <c:pt idx="10">
                  <c:v>t+10</c:v>
                </c:pt>
              </c:strCache>
            </c:strRef>
          </c:cat>
          <c:val>
            <c:numRef>
              <c:f>'Chapter 5 - Assessment'!$D$65:$N$65</c:f>
              <c:numCache>
                <c:formatCode>_(* #,##0.00_);_(* \(#,##0.00\);_(* "-"??_);_(@_)</c:formatCode>
                <c:ptCount val="11"/>
                <c:pt idx="0">
                  <c:v>3290.4479999999999</c:v>
                </c:pt>
                <c:pt idx="1">
                  <c:v>3389.1614399999999</c:v>
                </c:pt>
                <c:pt idx="2">
                  <c:v>3490.8362832000003</c:v>
                </c:pt>
                <c:pt idx="3">
                  <c:v>3595.5613716959997</c:v>
                </c:pt>
                <c:pt idx="4">
                  <c:v>3703.4282128468803</c:v>
                </c:pt>
                <c:pt idx="5">
                  <c:v>3814.5310592322858</c:v>
                </c:pt>
                <c:pt idx="6">
                  <c:v>3928.9669910092553</c:v>
                </c:pt>
                <c:pt idx="7">
                  <c:v>4046.8360007395322</c:v>
                </c:pt>
                <c:pt idx="8">
                  <c:v>4168.2410807617189</c:v>
                </c:pt>
                <c:pt idx="9">
                  <c:v>4293.2883131845701</c:v>
                </c:pt>
                <c:pt idx="10">
                  <c:v>4422.086962580107</c:v>
                </c:pt>
              </c:numCache>
            </c:numRef>
          </c:val>
          <c:extLst>
            <c:ext xmlns:c16="http://schemas.microsoft.com/office/drawing/2014/chart" uri="{C3380CC4-5D6E-409C-BE32-E72D297353CC}">
              <c16:uniqueId val="{00000000-0A68-46E9-99AA-327C24555B16}"/>
            </c:ext>
          </c:extLst>
        </c:ser>
        <c:ser>
          <c:idx val="0"/>
          <c:order val="1"/>
          <c:tx>
            <c:strRef>
              <c:f>'Chapter 5 - Assessment'!$B$79</c:f>
              <c:strCache>
                <c:ptCount val="1"/>
                <c:pt idx="0">
                  <c:v>WOM manure CH4 emissions (dairy cattle and other cattle)</c:v>
                </c:pt>
              </c:strCache>
            </c:strRef>
          </c:tx>
          <c:spPr>
            <a:solidFill>
              <a:srgbClr val="B0ABF4"/>
            </a:solidFill>
            <a:ln>
              <a:noFill/>
            </a:ln>
            <a:effectLst/>
          </c:spPr>
          <c:invertIfNegative val="0"/>
          <c:val>
            <c:numRef>
              <c:f>'Chapter 5 - Assessment'!$D$79:$N$79</c:f>
              <c:numCache>
                <c:formatCode>_(* #,##0.00_);_(* \(#,##0.00\);_(* "-"??_);_(@_)</c:formatCode>
                <c:ptCount val="11"/>
                <c:pt idx="0">
                  <c:v>252.79131736320008</c:v>
                </c:pt>
                <c:pt idx="1">
                  <c:v>260.37505688409607</c:v>
                </c:pt>
                <c:pt idx="2">
                  <c:v>268.18630859061892</c:v>
                </c:pt>
                <c:pt idx="3">
                  <c:v>276.2318978483375</c:v>
                </c:pt>
                <c:pt idx="4">
                  <c:v>284.51885478378767</c:v>
                </c:pt>
                <c:pt idx="5">
                  <c:v>293.05442042730124</c:v>
                </c:pt>
                <c:pt idx="6">
                  <c:v>301.8460530401203</c:v>
                </c:pt>
                <c:pt idx="7">
                  <c:v>310.90143463132392</c:v>
                </c:pt>
                <c:pt idx="8">
                  <c:v>320.22847767026366</c:v>
                </c:pt>
                <c:pt idx="9">
                  <c:v>329.83533200037152</c:v>
                </c:pt>
                <c:pt idx="10">
                  <c:v>339.73039196038269</c:v>
                </c:pt>
              </c:numCache>
            </c:numRef>
          </c:val>
          <c:extLst>
            <c:ext xmlns:c16="http://schemas.microsoft.com/office/drawing/2014/chart" uri="{C3380CC4-5D6E-409C-BE32-E72D297353CC}">
              <c16:uniqueId val="{00000001-0A68-46E9-99AA-327C24555B16}"/>
            </c:ext>
          </c:extLst>
        </c:ser>
        <c:ser>
          <c:idx val="1"/>
          <c:order val="2"/>
          <c:tx>
            <c:strRef>
              <c:f>'Chapter 5 - Assessment'!$B$81</c:f>
              <c:strCache>
                <c:ptCount val="1"/>
                <c:pt idx="0">
                  <c:v> Total WOM emissions </c:v>
                </c:pt>
              </c:strCache>
            </c:strRef>
          </c:tx>
          <c:spPr>
            <a:noFill/>
            <a:ln>
              <a:noFill/>
            </a:ln>
            <a:effectLst/>
          </c:spPr>
          <c:invertIfNegative val="0"/>
          <c:dLbls>
            <c:numFmt formatCode="#,##0.0" sourceLinked="0"/>
            <c:spPr>
              <a:noFill/>
              <a:ln>
                <a:noFill/>
              </a:ln>
              <a:effectLst/>
            </c:spPr>
            <c:txPr>
              <a:bodyPr rot="-5400000" spcFirstLastPara="1" vertOverflow="ellipsis" wrap="square" anchor="ctr" anchorCtr="1"/>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'Chapter 5 - Assessment'!$D$81:$N$81</c:f>
              <c:numCache>
                <c:formatCode>_(* #,##0.00_);_(* \(#,##0.00\);_(* "-"??_);_(@_)</c:formatCode>
                <c:ptCount val="11"/>
                <c:pt idx="0">
                  <c:v>3543.2393173631999</c:v>
                </c:pt>
                <c:pt idx="1">
                  <c:v>3649.5364968840959</c:v>
                </c:pt>
                <c:pt idx="2">
                  <c:v>3759.0225917906191</c:v>
                </c:pt>
                <c:pt idx="3">
                  <c:v>3871.7932695443374</c:v>
                </c:pt>
                <c:pt idx="4">
                  <c:v>3987.9470676306682</c:v>
                </c:pt>
                <c:pt idx="5">
                  <c:v>4107.5854796595868</c:v>
                </c:pt>
                <c:pt idx="6">
                  <c:v>4230.8130440493751</c:v>
                </c:pt>
                <c:pt idx="7">
                  <c:v>4357.7374353708565</c:v>
                </c:pt>
                <c:pt idx="8">
                  <c:v>4488.4695584319825</c:v>
                </c:pt>
                <c:pt idx="9">
                  <c:v>4623.1236451849418</c:v>
                </c:pt>
                <c:pt idx="10">
                  <c:v>4761.8173545404898</c:v>
                </c:pt>
              </c:numCache>
            </c:numRef>
          </c:val>
          <c:extLst>
            <c:ext xmlns:c16="http://schemas.microsoft.com/office/drawing/2014/chart" uri="{C3380CC4-5D6E-409C-BE32-E72D297353CC}">
              <c16:uniqueId val="{00000002-0A68-46E9-99AA-327C24555B16}"/>
            </c:ext>
          </c:extLst>
        </c:ser>
        <c:dLbls>
          <c:showLegendKey val="0"/>
          <c:showVal val="0"/>
          <c:showCatName val="0"/>
          <c:showSerName val="0"/>
          <c:showPercent val="0"/>
          <c:showBubbleSize val="0"/>
        </c:dLbls>
        <c:gapWidth val="150"/>
        <c:overlap val="100"/>
        <c:axId val="61166976"/>
        <c:axId val="61168656"/>
      </c:barChart>
      <c:catAx>
        <c:axId val="61166976"/>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Year</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68656"/>
        <c:crosses val="autoZero"/>
        <c:auto val="1"/>
        <c:lblAlgn val="ctr"/>
        <c:lblOffset val="100"/>
        <c:noMultiLvlLbl val="0"/>
      </c:catAx>
      <c:valAx>
        <c:axId val="61168656"/>
        <c:scaling>
          <c:orientation val="minMax"/>
          <c:max val="500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GHG emissions, Gg CO</a:t>
                </a:r>
                <a:r>
                  <a:rPr lang="en-US" baseline="-25000"/>
                  <a:t>2</a:t>
                </a:r>
                <a:r>
                  <a:rPr lang="en-US"/>
                  <a:t>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66976"/>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31589530923787E-2"/>
          <c:y val="5.4911500727455084E-2"/>
          <c:w val="0.91866841046907621"/>
          <c:h val="0.85028987125384992"/>
        </c:manualLayout>
      </c:layout>
      <c:barChart>
        <c:barDir val="col"/>
        <c:grouping val="stacked"/>
        <c:varyColors val="0"/>
        <c:ser>
          <c:idx val="6"/>
          <c:order val="0"/>
          <c:tx>
            <c:strRef>
              <c:f>'Chapter 5 - Assessment'!$B$95</c:f>
              <c:strCache>
                <c:ptCount val="1"/>
                <c:pt idx="0">
                  <c:v>WAM-HIGH enteric fermentation CH4 emissions; dairy and other cattle</c:v>
                </c:pt>
              </c:strCache>
            </c:strRef>
          </c:tx>
          <c:spPr>
            <a:solidFill>
              <a:srgbClr val="FFD7B4"/>
            </a:solidFill>
            <a:ln>
              <a:noFill/>
            </a:ln>
            <a:effectLst/>
          </c:spPr>
          <c:invertIfNegative val="0"/>
          <c:cat>
            <c:strRef>
              <c:f>'Chapter 5 - Assessment'!$D$59:$N$59</c:f>
              <c:strCache>
                <c:ptCount val="11"/>
                <c:pt idx="0">
                  <c:v>t</c:v>
                </c:pt>
                <c:pt idx="1">
                  <c:v>t+1</c:v>
                </c:pt>
                <c:pt idx="2">
                  <c:v>t+2</c:v>
                </c:pt>
                <c:pt idx="3">
                  <c:v>t+3</c:v>
                </c:pt>
                <c:pt idx="4">
                  <c:v>t+4</c:v>
                </c:pt>
                <c:pt idx="5">
                  <c:v>t+5</c:v>
                </c:pt>
                <c:pt idx="6">
                  <c:v>t+6</c:v>
                </c:pt>
                <c:pt idx="7">
                  <c:v>t+7</c:v>
                </c:pt>
                <c:pt idx="8">
                  <c:v>t+8</c:v>
                </c:pt>
                <c:pt idx="9">
                  <c:v>t+9</c:v>
                </c:pt>
                <c:pt idx="10">
                  <c:v>t+10</c:v>
                </c:pt>
              </c:strCache>
            </c:strRef>
          </c:cat>
          <c:val>
            <c:numRef>
              <c:f>'Chapter 5 - Assessment'!$D$95:$N$95</c:f>
              <c:numCache>
                <c:formatCode>_(* #,##0.00_);_(* \(#,##0.00\);_(* "-"??_);_(@_)</c:formatCode>
                <c:ptCount val="11"/>
                <c:pt idx="0">
                  <c:v>3290.4479999999999</c:v>
                </c:pt>
                <c:pt idx="1">
                  <c:v>3290.4479999999999</c:v>
                </c:pt>
                <c:pt idx="2">
                  <c:v>3290.4479999999999</c:v>
                </c:pt>
                <c:pt idx="3">
                  <c:v>3248.5935014400002</c:v>
                </c:pt>
                <c:pt idx="4">
                  <c:v>3226.2711022079998</c:v>
                </c:pt>
                <c:pt idx="5">
                  <c:v>3206.73900288</c:v>
                </c:pt>
                <c:pt idx="6">
                  <c:v>3187.2069035519994</c:v>
                </c:pt>
                <c:pt idx="7">
                  <c:v>3173.2554040319997</c:v>
                </c:pt>
                <c:pt idx="8">
                  <c:v>3150.9330048000002</c:v>
                </c:pt>
                <c:pt idx="9">
                  <c:v>3133.4936304000003</c:v>
                </c:pt>
                <c:pt idx="10">
                  <c:v>3116.0542559999999</c:v>
                </c:pt>
              </c:numCache>
            </c:numRef>
          </c:val>
          <c:extLst>
            <c:ext xmlns:c16="http://schemas.microsoft.com/office/drawing/2014/chart" uri="{C3380CC4-5D6E-409C-BE32-E72D297353CC}">
              <c16:uniqueId val="{00000000-8411-41A8-A6F3-458DC3213B67}"/>
            </c:ext>
          </c:extLst>
        </c:ser>
        <c:ser>
          <c:idx val="0"/>
          <c:order val="1"/>
          <c:tx>
            <c:strRef>
              <c:f>'Chapter 5 - Assessment'!$B$112</c:f>
              <c:strCache>
                <c:ptCount val="1"/>
                <c:pt idx="0">
                  <c:v>WAM-HIGH manure CH4 emissions; dairy and other cattler</c:v>
                </c:pt>
              </c:strCache>
            </c:strRef>
          </c:tx>
          <c:spPr>
            <a:solidFill>
              <a:srgbClr val="B0ABF4"/>
            </a:solidFill>
            <a:ln>
              <a:noFill/>
            </a:ln>
            <a:effectLst/>
          </c:spPr>
          <c:invertIfNegative val="0"/>
          <c:val>
            <c:numRef>
              <c:f>'Chapter 5 - Assessment'!$D$112:$N$112</c:f>
              <c:numCache>
                <c:formatCode>_(* #,##0.00_);_(* \(#,##0.00\);_(* "-"??_);_(@_)</c:formatCode>
                <c:ptCount val="11"/>
                <c:pt idx="0">
                  <c:v>252.79131736320008</c:v>
                </c:pt>
                <c:pt idx="1">
                  <c:v>252.79131736320008</c:v>
                </c:pt>
                <c:pt idx="2">
                  <c:v>252.79131736320008</c:v>
                </c:pt>
                <c:pt idx="3">
                  <c:v>237.62383832140807</c:v>
                </c:pt>
                <c:pt idx="4">
                  <c:v>229.5345161657857</c:v>
                </c:pt>
                <c:pt idx="5">
                  <c:v>222.45635927961604</c:v>
                </c:pt>
                <c:pt idx="6">
                  <c:v>215.37820239344649</c:v>
                </c:pt>
                <c:pt idx="7">
                  <c:v>210.32237604618246</c:v>
                </c:pt>
                <c:pt idx="8">
                  <c:v>202.23305389056009</c:v>
                </c:pt>
                <c:pt idx="9">
                  <c:v>195.91327095648003</c:v>
                </c:pt>
                <c:pt idx="10">
                  <c:v>189.59348802240009</c:v>
                </c:pt>
              </c:numCache>
            </c:numRef>
          </c:val>
          <c:extLst>
            <c:ext xmlns:c16="http://schemas.microsoft.com/office/drawing/2014/chart" uri="{C3380CC4-5D6E-409C-BE32-E72D297353CC}">
              <c16:uniqueId val="{00000001-8411-41A8-A6F3-458DC3213B67}"/>
            </c:ext>
          </c:extLst>
        </c:ser>
        <c:ser>
          <c:idx val="1"/>
          <c:order val="2"/>
          <c:tx>
            <c:strRef>
              <c:f>'Chapter 5 - Assessment'!$B$114</c:f>
              <c:strCache>
                <c:ptCount val="1"/>
                <c:pt idx="0">
                  <c:v> Total WAM-HIGH emissions </c:v>
                </c:pt>
              </c:strCache>
            </c:strRef>
          </c:tx>
          <c:spPr>
            <a:no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'Chapter 5 - Assessment'!$D$114:$N$114</c:f>
              <c:numCache>
                <c:formatCode>_(* #,##0.00_);_(* \(#,##0.00\);_(* "-"??_);_(@_)</c:formatCode>
                <c:ptCount val="11"/>
                <c:pt idx="0">
                  <c:v>3543.2393173631999</c:v>
                </c:pt>
                <c:pt idx="1">
                  <c:v>3543.2393173631999</c:v>
                </c:pt>
                <c:pt idx="2">
                  <c:v>3543.2393173631999</c:v>
                </c:pt>
                <c:pt idx="3">
                  <c:v>3486.2173397614083</c:v>
                </c:pt>
                <c:pt idx="4">
                  <c:v>3455.8056183737854</c:v>
                </c:pt>
                <c:pt idx="5">
                  <c:v>3429.1953621596163</c:v>
                </c:pt>
                <c:pt idx="6">
                  <c:v>3402.5851059454458</c:v>
                </c:pt>
                <c:pt idx="7">
                  <c:v>3383.5777800781821</c:v>
                </c:pt>
                <c:pt idx="8">
                  <c:v>3353.16605869056</c:v>
                </c:pt>
                <c:pt idx="9">
                  <c:v>3329.4069013564804</c:v>
                </c:pt>
                <c:pt idx="10">
                  <c:v>3305.6477440223998</c:v>
                </c:pt>
              </c:numCache>
            </c:numRef>
          </c:val>
          <c:extLst>
            <c:ext xmlns:c16="http://schemas.microsoft.com/office/drawing/2014/chart" uri="{C3380CC4-5D6E-409C-BE32-E72D297353CC}">
              <c16:uniqueId val="{00000002-8411-41A8-A6F3-458DC3213B67}"/>
            </c:ext>
          </c:extLst>
        </c:ser>
        <c:dLbls>
          <c:showLegendKey val="0"/>
          <c:showVal val="0"/>
          <c:showCatName val="0"/>
          <c:showSerName val="0"/>
          <c:showPercent val="0"/>
          <c:showBubbleSize val="0"/>
        </c:dLbls>
        <c:gapWidth val="150"/>
        <c:overlap val="100"/>
        <c:axId val="61166976"/>
        <c:axId val="61168656"/>
      </c:barChart>
      <c:catAx>
        <c:axId val="61166976"/>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Year</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68656"/>
        <c:crosses val="autoZero"/>
        <c:auto val="1"/>
        <c:lblAlgn val="ctr"/>
        <c:lblOffset val="100"/>
        <c:noMultiLvlLbl val="0"/>
      </c:catAx>
      <c:valAx>
        <c:axId val="61168656"/>
        <c:scaling>
          <c:orientation val="minMax"/>
          <c:max val="500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GHG emissions, Gg CO</a:t>
                </a:r>
                <a:r>
                  <a:rPr lang="en-US" baseline="-25000"/>
                  <a:t>2</a:t>
                </a:r>
                <a:r>
                  <a:rPr lang="en-US"/>
                  <a:t>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66976"/>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6"/>
          <c:order val="0"/>
          <c:tx>
            <c:strRef>
              <c:f>'Chapter 5 - Assessment'!$B$126</c:f>
              <c:strCache>
                <c:ptCount val="1"/>
                <c:pt idx="0">
                  <c:v>WAM-LOW enteric fermentation CH4 emissions; dairy and other cattle</c:v>
                </c:pt>
              </c:strCache>
            </c:strRef>
          </c:tx>
          <c:spPr>
            <a:solidFill>
              <a:srgbClr val="FFD7B4"/>
            </a:solidFill>
            <a:ln>
              <a:noFill/>
            </a:ln>
            <a:effectLst/>
          </c:spPr>
          <c:invertIfNegative val="0"/>
          <c:cat>
            <c:strRef>
              <c:f>'Chapter 5 - Assessment'!$D$59:$N$59</c:f>
              <c:strCache>
                <c:ptCount val="11"/>
                <c:pt idx="0">
                  <c:v>t</c:v>
                </c:pt>
                <c:pt idx="1">
                  <c:v>t+1</c:v>
                </c:pt>
                <c:pt idx="2">
                  <c:v>t+2</c:v>
                </c:pt>
                <c:pt idx="3">
                  <c:v>t+3</c:v>
                </c:pt>
                <c:pt idx="4">
                  <c:v>t+4</c:v>
                </c:pt>
                <c:pt idx="5">
                  <c:v>t+5</c:v>
                </c:pt>
                <c:pt idx="6">
                  <c:v>t+6</c:v>
                </c:pt>
                <c:pt idx="7">
                  <c:v>t+7</c:v>
                </c:pt>
                <c:pt idx="8">
                  <c:v>t+8</c:v>
                </c:pt>
                <c:pt idx="9">
                  <c:v>t+9</c:v>
                </c:pt>
                <c:pt idx="10">
                  <c:v>t+10</c:v>
                </c:pt>
              </c:strCache>
            </c:strRef>
          </c:cat>
          <c:val>
            <c:numRef>
              <c:f>'Chapter 5 - Assessment'!$D$126:$N$126</c:f>
              <c:numCache>
                <c:formatCode>_(* #,##0.00_);_(* \(#,##0.00\);_(* "-"??_);_(@_)</c:formatCode>
                <c:ptCount val="11"/>
                <c:pt idx="0">
                  <c:v>3290.4479999999999</c:v>
                </c:pt>
                <c:pt idx="1">
                  <c:v>3323.35248</c:v>
                </c:pt>
                <c:pt idx="2">
                  <c:v>3356.5860048</c:v>
                </c:pt>
                <c:pt idx="3">
                  <c:v>3375.777620941044</c:v>
                </c:pt>
                <c:pt idx="4">
                  <c:v>3402.2764039774424</c:v>
                </c:pt>
                <c:pt idx="5">
                  <c:v>3428.9675849124746</c:v>
                </c:pt>
                <c:pt idx="6">
                  <c:v>3459.5548112937045</c:v>
                </c:pt>
                <c:pt idx="7">
                  <c:v>3486.6714114814936</c:v>
                </c:pt>
                <c:pt idx="8">
                  <c:v>3513.9843881919091</c:v>
                </c:pt>
                <c:pt idx="9">
                  <c:v>3541.4949572953847</c:v>
                </c:pt>
                <c:pt idx="10">
                  <c:v>3557.6459880527686</c:v>
                </c:pt>
              </c:numCache>
            </c:numRef>
          </c:val>
          <c:extLst>
            <c:ext xmlns:c16="http://schemas.microsoft.com/office/drawing/2014/chart" uri="{C3380CC4-5D6E-409C-BE32-E72D297353CC}">
              <c16:uniqueId val="{00000000-93CF-45AC-BFD4-A2CF235CD265}"/>
            </c:ext>
          </c:extLst>
        </c:ser>
        <c:ser>
          <c:idx val="0"/>
          <c:order val="1"/>
          <c:tx>
            <c:strRef>
              <c:f>'Chapter 5 - Assessment'!$B$143</c:f>
              <c:strCache>
                <c:ptCount val="1"/>
                <c:pt idx="0">
                  <c:v>WAM-LOW manure CH4 emissions; dairy cattle and other cattle</c:v>
                </c:pt>
              </c:strCache>
            </c:strRef>
          </c:tx>
          <c:spPr>
            <a:solidFill>
              <a:srgbClr val="B0ABF4"/>
            </a:solidFill>
            <a:ln>
              <a:noFill/>
            </a:ln>
            <a:effectLst/>
          </c:spPr>
          <c:invertIfNegative val="0"/>
          <c:val>
            <c:numRef>
              <c:f>'Chapter 5 - Assessment'!$D$143:$N$143</c:f>
              <c:numCache>
                <c:formatCode>_(* #,##0.00_);_(* \(#,##0.00\);_(* "-"??_);_(@_)</c:formatCode>
                <c:ptCount val="11"/>
                <c:pt idx="0">
                  <c:v>252.79131736320008</c:v>
                </c:pt>
                <c:pt idx="1">
                  <c:v>255.31923053683204</c:v>
                </c:pt>
                <c:pt idx="2">
                  <c:v>257.87242284220042</c:v>
                </c:pt>
                <c:pt idx="3">
                  <c:v>255.24212412920991</c:v>
                </c:pt>
                <c:pt idx="4">
                  <c:v>255.16398878508875</c:v>
                </c:pt>
                <c:pt idx="5">
                  <c:v>255.05876652167228</c:v>
                </c:pt>
                <c:pt idx="6">
                  <c:v>256.26763880049896</c:v>
                </c:pt>
                <c:pt idx="7">
                  <c:v>256.12005010799606</c:v>
                </c:pt>
                <c:pt idx="8">
                  <c:v>255.94388287776303</c:v>
                </c:pt>
                <c:pt idx="9">
                  <c:v>255.73858029791455</c:v>
                </c:pt>
                <c:pt idx="10">
                  <c:v>251.31499404411278</c:v>
                </c:pt>
              </c:numCache>
            </c:numRef>
          </c:val>
          <c:extLst>
            <c:ext xmlns:c16="http://schemas.microsoft.com/office/drawing/2014/chart" uri="{C3380CC4-5D6E-409C-BE32-E72D297353CC}">
              <c16:uniqueId val="{00000001-93CF-45AC-BFD4-A2CF235CD265}"/>
            </c:ext>
          </c:extLst>
        </c:ser>
        <c:ser>
          <c:idx val="1"/>
          <c:order val="2"/>
          <c:tx>
            <c:strRef>
              <c:f>'Chapter 5 - Assessment'!$B$145</c:f>
              <c:strCache>
                <c:ptCount val="1"/>
                <c:pt idx="0">
                  <c:v> Total WAM-LOW emissions </c:v>
                </c:pt>
              </c:strCache>
            </c:strRef>
          </c:tx>
          <c:spPr>
            <a:noFill/>
            <a:ln>
              <a:noFill/>
            </a:ln>
            <a:effectLst/>
          </c:spPr>
          <c:invertIfNegative val="0"/>
          <c:dLbls>
            <c:numFmt formatCode="#,##0.0" sourceLinked="0"/>
            <c:spPr>
              <a:noFill/>
              <a:ln>
                <a:noFill/>
              </a:ln>
              <a:effectLst/>
            </c:spPr>
            <c:txPr>
              <a:bodyPr rot="-5400000" spcFirstLastPara="1" vertOverflow="ellipsis" vert="horz" wrap="square" lIns="36576"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'Chapter 5 - Assessment'!$D$145:$N$145</c:f>
              <c:numCache>
                <c:formatCode>_(* #,##0.00_);_(* \(#,##0.00\);_(* "-"??_);_(@_)</c:formatCode>
                <c:ptCount val="11"/>
                <c:pt idx="0">
                  <c:v>3543.2393173631999</c:v>
                </c:pt>
                <c:pt idx="1">
                  <c:v>3578.6717105368321</c:v>
                </c:pt>
                <c:pt idx="2">
                  <c:v>3614.4584276422001</c:v>
                </c:pt>
                <c:pt idx="3">
                  <c:v>3631.019745070254</c:v>
                </c:pt>
                <c:pt idx="4">
                  <c:v>3657.4403927625312</c:v>
                </c:pt>
                <c:pt idx="5">
                  <c:v>3684.0263514341468</c:v>
                </c:pt>
                <c:pt idx="6">
                  <c:v>3715.8224500942033</c:v>
                </c:pt>
                <c:pt idx="7">
                  <c:v>3742.7914615894897</c:v>
                </c:pt>
                <c:pt idx="8">
                  <c:v>3769.9282710696721</c:v>
                </c:pt>
                <c:pt idx="9">
                  <c:v>3797.2335375932994</c:v>
                </c:pt>
                <c:pt idx="10">
                  <c:v>3808.9609820968813</c:v>
                </c:pt>
              </c:numCache>
            </c:numRef>
          </c:val>
          <c:extLst>
            <c:ext xmlns:c16="http://schemas.microsoft.com/office/drawing/2014/chart" uri="{C3380CC4-5D6E-409C-BE32-E72D297353CC}">
              <c16:uniqueId val="{00000002-93CF-45AC-BFD4-A2CF235CD265}"/>
            </c:ext>
          </c:extLst>
        </c:ser>
        <c:dLbls>
          <c:showLegendKey val="0"/>
          <c:showVal val="0"/>
          <c:showCatName val="0"/>
          <c:showSerName val="0"/>
          <c:showPercent val="0"/>
          <c:showBubbleSize val="0"/>
        </c:dLbls>
        <c:gapWidth val="150"/>
        <c:overlap val="100"/>
        <c:axId val="61166976"/>
        <c:axId val="61168656"/>
      </c:barChart>
      <c:catAx>
        <c:axId val="61166976"/>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Year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68656"/>
        <c:crosses val="autoZero"/>
        <c:auto val="1"/>
        <c:lblAlgn val="ctr"/>
        <c:lblOffset val="100"/>
        <c:noMultiLvlLbl val="0"/>
      </c:catAx>
      <c:valAx>
        <c:axId val="61168656"/>
        <c:scaling>
          <c:orientation val="minMax"/>
          <c:max val="500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GHG emissions, Gg CO</a:t>
                </a:r>
                <a:r>
                  <a:rPr lang="en-US" baseline="-25000"/>
                  <a:t>2</a:t>
                </a:r>
                <a:r>
                  <a:rPr lang="en-US"/>
                  <a:t>e</a:t>
                </a:r>
              </a:p>
            </c:rich>
          </c:tx>
          <c:overlay val="0"/>
          <c:spPr>
            <a:noFill/>
            <a:ln>
              <a:noFill/>
            </a:ln>
            <a:effectLst/>
          </c:spPr>
        </c:title>
        <c:numFmt formatCode="#,##0" sourceLinked="0"/>
        <c:majorTickMark val="out"/>
        <c:minorTickMark val="none"/>
        <c:tickLblPos val="nextTo"/>
        <c:spPr>
          <a:ln>
            <a:solidFill>
              <a:srgbClr val="D9D9D9"/>
            </a:solidFill>
          </a:ln>
        </c:spPr>
        <c:crossAx val="61166976"/>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0"/>
          <c:tx>
            <c:strRef>
              <c:f>'Chapter 6 - Assessment'!$B$107</c:f>
              <c:strCache>
                <c:ptCount val="1"/>
                <c:pt idx="0">
                  <c:v>Direct N2O emissions</c:v>
                </c:pt>
              </c:strCache>
            </c:strRef>
          </c:tx>
          <c:spPr>
            <a:solidFill>
              <a:schemeClr val="accent3"/>
            </a:solidFill>
            <a:ln>
              <a:noFill/>
            </a:ln>
            <a:effectLst/>
          </c:spPr>
          <c:invertIfNegative val="0"/>
          <c:dLbls>
            <c:delete val="1"/>
          </c:dLbls>
          <c:cat>
            <c:strRef>
              <c:f>'Chapter 6 - Assessment'!$D$94:$N$94</c:f>
              <c:strCache>
                <c:ptCount val="11"/>
                <c:pt idx="0">
                  <c:v> t </c:v>
                </c:pt>
                <c:pt idx="1">
                  <c:v> t+1 </c:v>
                </c:pt>
                <c:pt idx="2">
                  <c:v> t+2 </c:v>
                </c:pt>
                <c:pt idx="3">
                  <c:v> t+3 </c:v>
                </c:pt>
                <c:pt idx="4">
                  <c:v> t+4 </c:v>
                </c:pt>
                <c:pt idx="5">
                  <c:v> t+5 </c:v>
                </c:pt>
                <c:pt idx="6">
                  <c:v> t+6 </c:v>
                </c:pt>
                <c:pt idx="7">
                  <c:v>t+7</c:v>
                </c:pt>
                <c:pt idx="8">
                  <c:v>t+8</c:v>
                </c:pt>
                <c:pt idx="9">
                  <c:v>t+9</c:v>
                </c:pt>
                <c:pt idx="10">
                  <c:v>t+10</c:v>
                </c:pt>
              </c:strCache>
            </c:strRef>
          </c:cat>
          <c:val>
            <c:numRef>
              <c:f>'Chapter 6 - Assessment'!$D$107:$N$107</c:f>
              <c:numCache>
                <c:formatCode>_(* #,##0.00_);_(* \(#,##0.00\);_(* "-"??_);_(@_)</c:formatCode>
                <c:ptCount val="11"/>
                <c:pt idx="0">
                  <c:v>12.161606703714286</c:v>
                </c:pt>
                <c:pt idx="1">
                  <c:v>12.161606703714286</c:v>
                </c:pt>
                <c:pt idx="2">
                  <c:v>12.161606703714286</c:v>
                </c:pt>
                <c:pt idx="3">
                  <c:v>11.924820221192968</c:v>
                </c:pt>
                <c:pt idx="4">
                  <c:v>11.688033738671649</c:v>
                </c:pt>
                <c:pt idx="5">
                  <c:v>11.444071908195143</c:v>
                </c:pt>
                <c:pt idx="6">
                  <c:v>10.87004407177983</c:v>
                </c:pt>
                <c:pt idx="7">
                  <c:v>10.296016235364515</c:v>
                </c:pt>
                <c:pt idx="8">
                  <c:v>9.7219883989492004</c:v>
                </c:pt>
                <c:pt idx="9">
                  <c:v>9.1479605625338873</c:v>
                </c:pt>
                <c:pt idx="10">
                  <c:v>8.5739327261185725</c:v>
                </c:pt>
              </c:numCache>
            </c:numRef>
          </c:val>
          <c:extLst>
            <c:ext xmlns:c16="http://schemas.microsoft.com/office/drawing/2014/chart" uri="{C3380CC4-5D6E-409C-BE32-E72D297353CC}">
              <c16:uniqueId val="{00000000-4C34-4D7B-A0C3-B8DF552C03E3}"/>
            </c:ext>
          </c:extLst>
        </c:ser>
        <c:ser>
          <c:idx val="0"/>
          <c:order val="1"/>
          <c:tx>
            <c:strRef>
              <c:f>'Chapter 6 - Assessment'!$B$108</c:f>
              <c:strCache>
                <c:ptCount val="1"/>
                <c:pt idx="0">
                  <c:v>Indirect N2O emissions volatilisation</c:v>
                </c:pt>
              </c:strCache>
            </c:strRef>
          </c:tx>
          <c:spPr>
            <a:solidFill>
              <a:srgbClr val="B0ABF4"/>
            </a:solidFill>
            <a:ln>
              <a:noFill/>
            </a:ln>
            <a:effectLst/>
          </c:spPr>
          <c:invertIfNegative val="0"/>
          <c:dLbls>
            <c:delete val="1"/>
          </c:dLbls>
          <c:cat>
            <c:strRef>
              <c:f>'Chapter 6 - Assessment'!$D$94:$N$94</c:f>
              <c:strCache>
                <c:ptCount val="11"/>
                <c:pt idx="0">
                  <c:v> t </c:v>
                </c:pt>
                <c:pt idx="1">
                  <c:v> t+1 </c:v>
                </c:pt>
                <c:pt idx="2">
                  <c:v> t+2 </c:v>
                </c:pt>
                <c:pt idx="3">
                  <c:v> t+3 </c:v>
                </c:pt>
                <c:pt idx="4">
                  <c:v> t+4 </c:v>
                </c:pt>
                <c:pt idx="5">
                  <c:v> t+5 </c:v>
                </c:pt>
                <c:pt idx="6">
                  <c:v> t+6 </c:v>
                </c:pt>
                <c:pt idx="7">
                  <c:v>t+7</c:v>
                </c:pt>
                <c:pt idx="8">
                  <c:v>t+8</c:v>
                </c:pt>
                <c:pt idx="9">
                  <c:v>t+9</c:v>
                </c:pt>
                <c:pt idx="10">
                  <c:v>t+10</c:v>
                </c:pt>
              </c:strCache>
            </c:strRef>
          </c:cat>
          <c:val>
            <c:numRef>
              <c:f>'Chapter 6 - Assessment'!$D$108:$N$108</c:f>
              <c:numCache>
                <c:formatCode>_(* #,##0.00_);_(* \(#,##0.00\);_(* "-"??_);_(@_)</c:formatCode>
                <c:ptCount val="11"/>
                <c:pt idx="0">
                  <c:v>1.824241005557143</c:v>
                </c:pt>
                <c:pt idx="1">
                  <c:v>1.824241005557143</c:v>
                </c:pt>
                <c:pt idx="2">
                  <c:v>1.824241005557143</c:v>
                </c:pt>
                <c:pt idx="3">
                  <c:v>1.824241005557143</c:v>
                </c:pt>
                <c:pt idx="4">
                  <c:v>1.824241005557143</c:v>
                </c:pt>
                <c:pt idx="5">
                  <c:v>1.824241005557143</c:v>
                </c:pt>
                <c:pt idx="6">
                  <c:v>1.824241005557143</c:v>
                </c:pt>
                <c:pt idx="7">
                  <c:v>1.824241005557143</c:v>
                </c:pt>
                <c:pt idx="8">
                  <c:v>1.824241005557143</c:v>
                </c:pt>
                <c:pt idx="9">
                  <c:v>1.824241005557143</c:v>
                </c:pt>
                <c:pt idx="10">
                  <c:v>1.824241005557143</c:v>
                </c:pt>
              </c:numCache>
            </c:numRef>
          </c:val>
          <c:extLst>
            <c:ext xmlns:c16="http://schemas.microsoft.com/office/drawing/2014/chart" uri="{C3380CC4-5D6E-409C-BE32-E72D297353CC}">
              <c16:uniqueId val="{00000001-4C34-4D7B-A0C3-B8DF552C03E3}"/>
            </c:ext>
          </c:extLst>
        </c:ser>
        <c:ser>
          <c:idx val="1"/>
          <c:order val="2"/>
          <c:tx>
            <c:strRef>
              <c:f>'Chapter 6 - Assessment'!$B$109</c:f>
              <c:strCache>
                <c:ptCount val="1"/>
                <c:pt idx="0">
                  <c:v>Indirect N2O emissions leaching</c:v>
                </c:pt>
              </c:strCache>
            </c:strRef>
          </c:tx>
          <c:spPr>
            <a:solidFill>
              <a:srgbClr val="FFD7B4"/>
            </a:solidFill>
            <a:ln>
              <a:noFill/>
            </a:ln>
            <a:effectLst/>
          </c:spPr>
          <c:invertIfNegative val="0"/>
          <c:dLbls>
            <c:delete val="1"/>
          </c:dLbls>
          <c:cat>
            <c:strRef>
              <c:f>'Chapter 6 - Assessment'!$D$94:$N$94</c:f>
              <c:strCache>
                <c:ptCount val="11"/>
                <c:pt idx="0">
                  <c:v> t </c:v>
                </c:pt>
                <c:pt idx="1">
                  <c:v> t+1 </c:v>
                </c:pt>
                <c:pt idx="2">
                  <c:v> t+2 </c:v>
                </c:pt>
                <c:pt idx="3">
                  <c:v> t+3 </c:v>
                </c:pt>
                <c:pt idx="4">
                  <c:v> t+4 </c:v>
                </c:pt>
                <c:pt idx="5">
                  <c:v> t+5 </c:v>
                </c:pt>
                <c:pt idx="6">
                  <c:v> t+6 </c:v>
                </c:pt>
                <c:pt idx="7">
                  <c:v>t+7</c:v>
                </c:pt>
                <c:pt idx="8">
                  <c:v>t+8</c:v>
                </c:pt>
                <c:pt idx="9">
                  <c:v>t+9</c:v>
                </c:pt>
                <c:pt idx="10">
                  <c:v>t+10</c:v>
                </c:pt>
              </c:strCache>
            </c:strRef>
          </c:cat>
          <c:val>
            <c:numRef>
              <c:f>'Chapter 6 - Assessment'!$D$109:$N$109</c:f>
              <c:numCache>
                <c:formatCode>_(* #,##0.00_);_(* \(#,##0.00\);_(* "-"??_);_(@_)</c:formatCode>
                <c:ptCount val="11"/>
                <c:pt idx="0">
                  <c:v>3.2106641697805709</c:v>
                </c:pt>
                <c:pt idx="1">
                  <c:v>3.2106641697805709</c:v>
                </c:pt>
                <c:pt idx="2">
                  <c:v>3.2106641697805709</c:v>
                </c:pt>
                <c:pt idx="3">
                  <c:v>3.2106641697805709</c:v>
                </c:pt>
                <c:pt idx="4">
                  <c:v>3.2106641697805709</c:v>
                </c:pt>
                <c:pt idx="5">
                  <c:v>3.2106641697805709</c:v>
                </c:pt>
                <c:pt idx="6">
                  <c:v>3.2106641697805709</c:v>
                </c:pt>
                <c:pt idx="7">
                  <c:v>3.2106641697805709</c:v>
                </c:pt>
                <c:pt idx="8">
                  <c:v>3.2106641697805709</c:v>
                </c:pt>
                <c:pt idx="9">
                  <c:v>3.2106641697805709</c:v>
                </c:pt>
                <c:pt idx="10">
                  <c:v>3.2106641697805709</c:v>
                </c:pt>
              </c:numCache>
            </c:numRef>
          </c:val>
          <c:extLst>
            <c:ext xmlns:c16="http://schemas.microsoft.com/office/drawing/2014/chart" uri="{C3380CC4-5D6E-409C-BE32-E72D297353CC}">
              <c16:uniqueId val="{00000002-4C34-4D7B-A0C3-B8DF552C03E3}"/>
            </c:ext>
          </c:extLst>
        </c:ser>
        <c:ser>
          <c:idx val="3"/>
          <c:order val="3"/>
          <c:tx>
            <c:strRef>
              <c:f>'Chapter 6 - Assessment'!$B$112</c:f>
              <c:strCache>
                <c:ptCount val="1"/>
                <c:pt idx="0">
                  <c:v>Total WAM-MED emissions</c:v>
                </c:pt>
              </c:strCache>
            </c:strRef>
          </c:tx>
          <c:spPr>
            <a:solidFill>
              <a:schemeClr val="bg1"/>
            </a:solid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'Chapter 6 - Assessment'!$D$94:$N$94</c:f>
              <c:strCache>
                <c:ptCount val="11"/>
                <c:pt idx="0">
                  <c:v> t </c:v>
                </c:pt>
                <c:pt idx="1">
                  <c:v> t+1 </c:v>
                </c:pt>
                <c:pt idx="2">
                  <c:v> t+2 </c:v>
                </c:pt>
                <c:pt idx="3">
                  <c:v> t+3 </c:v>
                </c:pt>
                <c:pt idx="4">
                  <c:v> t+4 </c:v>
                </c:pt>
                <c:pt idx="5">
                  <c:v> t+5 </c:v>
                </c:pt>
                <c:pt idx="6">
                  <c:v> t+6 </c:v>
                </c:pt>
                <c:pt idx="7">
                  <c:v>t+7</c:v>
                </c:pt>
                <c:pt idx="8">
                  <c:v>t+8</c:v>
                </c:pt>
                <c:pt idx="9">
                  <c:v>t+9</c:v>
                </c:pt>
                <c:pt idx="10">
                  <c:v>t+10</c:v>
                </c:pt>
              </c:strCache>
            </c:strRef>
          </c:cat>
          <c:val>
            <c:numRef>
              <c:f>'Chapter 6 - Assessment'!$D$112:$N$112</c:f>
              <c:numCache>
                <c:formatCode>_(* #,##0.00_);_(* \(#,##0.00\);_(* "-"??_);_(@_)</c:formatCode>
                <c:ptCount val="11"/>
                <c:pt idx="0">
                  <c:v>17.196511879052</c:v>
                </c:pt>
                <c:pt idx="1">
                  <c:v>17.196511879052</c:v>
                </c:pt>
                <c:pt idx="2">
                  <c:v>17.196511879052</c:v>
                </c:pt>
                <c:pt idx="3">
                  <c:v>16.959725396530683</c:v>
                </c:pt>
                <c:pt idx="4">
                  <c:v>16.722938914009362</c:v>
                </c:pt>
                <c:pt idx="5">
                  <c:v>16.478977083532858</c:v>
                </c:pt>
                <c:pt idx="6">
                  <c:v>15.904949247117544</c:v>
                </c:pt>
                <c:pt idx="7">
                  <c:v>15.33092141070223</c:v>
                </c:pt>
                <c:pt idx="8">
                  <c:v>14.756893574286915</c:v>
                </c:pt>
                <c:pt idx="9">
                  <c:v>14.182865737871602</c:v>
                </c:pt>
                <c:pt idx="10">
                  <c:v>13.608837901456287</c:v>
                </c:pt>
              </c:numCache>
            </c:numRef>
          </c:val>
          <c:extLst>
            <c:ext xmlns:c16="http://schemas.microsoft.com/office/drawing/2014/chart" uri="{C3380CC4-5D6E-409C-BE32-E72D297353CC}">
              <c16:uniqueId val="{00000003-4C34-4D7B-A0C3-B8DF552C03E3}"/>
            </c:ext>
          </c:extLst>
        </c:ser>
        <c:dLbls>
          <c:dLblPos val="inBase"/>
          <c:showLegendKey val="0"/>
          <c:showVal val="1"/>
          <c:showCatName val="0"/>
          <c:showSerName val="0"/>
          <c:showPercent val="0"/>
          <c:showBubbleSize val="0"/>
        </c:dLbls>
        <c:gapWidth val="150"/>
        <c:overlap val="100"/>
        <c:axId val="805584544"/>
        <c:axId val="805590776"/>
      </c:barChart>
      <c:catAx>
        <c:axId val="805584544"/>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Year</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05590776"/>
        <c:crosses val="autoZero"/>
        <c:auto val="1"/>
        <c:lblAlgn val="ctr"/>
        <c:lblOffset val="100"/>
        <c:noMultiLvlLbl val="0"/>
      </c:catAx>
      <c:valAx>
        <c:axId val="805590776"/>
        <c:scaling>
          <c:orientation val="minMax"/>
          <c:max val="25"/>
          <c:min val="0"/>
        </c:scaling>
        <c:delete val="0"/>
        <c:axPos val="l"/>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a:t>N</a:t>
                </a:r>
                <a:r>
                  <a:rPr lang="en-US" sz="1400" baseline="-25000"/>
                  <a:t>2</a:t>
                </a:r>
                <a:r>
                  <a:rPr lang="en-US" sz="1400"/>
                  <a:t>O Emissions from Urea, Gg CO</a:t>
                </a:r>
                <a:r>
                  <a:rPr lang="en-US" sz="1400" baseline="-25000"/>
                  <a:t>2</a:t>
                </a:r>
                <a:r>
                  <a:rPr lang="en-US" sz="1400"/>
                  <a:t>e</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_(* \(#,##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0558454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0"/>
          <c:tx>
            <c:strRef>
              <c:f>'Chapter 6 - Assessment'!$B$59</c:f>
              <c:strCache>
                <c:ptCount val="1"/>
                <c:pt idx="0">
                  <c:v>Direct N2O emissions</c:v>
                </c:pt>
              </c:strCache>
            </c:strRef>
          </c:tx>
          <c:spPr>
            <a:solidFill>
              <a:schemeClr val="accent3"/>
            </a:solidFill>
            <a:ln>
              <a:noFill/>
            </a:ln>
            <a:effectLst/>
          </c:spPr>
          <c:invertIfNegative val="0"/>
          <c:dLbls>
            <c:delete val="1"/>
          </c:dLbls>
          <c:cat>
            <c:strRef>
              <c:f>'Chapter 6 - Assessment'!$D$47:$N$47</c:f>
              <c:strCache>
                <c:ptCount val="11"/>
                <c:pt idx="0">
                  <c:v> t </c:v>
                </c:pt>
                <c:pt idx="1">
                  <c:v> t+1 </c:v>
                </c:pt>
                <c:pt idx="2">
                  <c:v> t+2 </c:v>
                </c:pt>
                <c:pt idx="3">
                  <c:v> t+3 </c:v>
                </c:pt>
                <c:pt idx="4">
                  <c:v> t+4 </c:v>
                </c:pt>
                <c:pt idx="5">
                  <c:v> t+5 </c:v>
                </c:pt>
                <c:pt idx="6">
                  <c:v> t+6 </c:v>
                </c:pt>
                <c:pt idx="7">
                  <c:v>t+7</c:v>
                </c:pt>
                <c:pt idx="8">
                  <c:v>t+8</c:v>
                </c:pt>
                <c:pt idx="9">
                  <c:v>t+9</c:v>
                </c:pt>
                <c:pt idx="10">
                  <c:v>t+10</c:v>
                </c:pt>
              </c:strCache>
            </c:strRef>
          </c:cat>
          <c:val>
            <c:numRef>
              <c:f>'Chapter 6 - Assessment'!$D$59:$N$59</c:f>
              <c:numCache>
                <c:formatCode>_(* #,##0.00_);_(* \(#,##0.00\);_(* "-"??_);_(@_)</c:formatCode>
                <c:ptCount val="11"/>
                <c:pt idx="0">
                  <c:v>12.161606703714286</c:v>
                </c:pt>
                <c:pt idx="1">
                  <c:v>12.161606703714286</c:v>
                </c:pt>
                <c:pt idx="2">
                  <c:v>12.161606703714286</c:v>
                </c:pt>
                <c:pt idx="3">
                  <c:v>12.161606703714286</c:v>
                </c:pt>
                <c:pt idx="4">
                  <c:v>12.161606703714286</c:v>
                </c:pt>
                <c:pt idx="5">
                  <c:v>12.161606703714286</c:v>
                </c:pt>
                <c:pt idx="6">
                  <c:v>12.161606703714286</c:v>
                </c:pt>
                <c:pt idx="7">
                  <c:v>12.161606703714286</c:v>
                </c:pt>
                <c:pt idx="8">
                  <c:v>12.161606703714286</c:v>
                </c:pt>
                <c:pt idx="9">
                  <c:v>12.161606703714286</c:v>
                </c:pt>
                <c:pt idx="10">
                  <c:v>12.161606703714286</c:v>
                </c:pt>
              </c:numCache>
            </c:numRef>
          </c:val>
          <c:extLst>
            <c:ext xmlns:c16="http://schemas.microsoft.com/office/drawing/2014/chart" uri="{C3380CC4-5D6E-409C-BE32-E72D297353CC}">
              <c16:uniqueId val="{00000000-975D-4EE6-BBEE-50D4F849F231}"/>
            </c:ext>
          </c:extLst>
        </c:ser>
        <c:ser>
          <c:idx val="0"/>
          <c:order val="1"/>
          <c:tx>
            <c:strRef>
              <c:f>'Chapter 6 - Assessment'!$B$60</c:f>
              <c:strCache>
                <c:ptCount val="1"/>
                <c:pt idx="0">
                  <c:v>Indirect N2O emissions volatilisation</c:v>
                </c:pt>
              </c:strCache>
            </c:strRef>
          </c:tx>
          <c:spPr>
            <a:solidFill>
              <a:srgbClr val="B0ABF4"/>
            </a:solidFill>
            <a:ln>
              <a:noFill/>
            </a:ln>
            <a:effectLst/>
          </c:spPr>
          <c:invertIfNegative val="0"/>
          <c:dLbls>
            <c:delete val="1"/>
          </c:dLbls>
          <c:cat>
            <c:strRef>
              <c:f>'Chapter 6 - Assessment'!$D$47:$N$47</c:f>
              <c:strCache>
                <c:ptCount val="11"/>
                <c:pt idx="0">
                  <c:v> t </c:v>
                </c:pt>
                <c:pt idx="1">
                  <c:v> t+1 </c:v>
                </c:pt>
                <c:pt idx="2">
                  <c:v> t+2 </c:v>
                </c:pt>
                <c:pt idx="3">
                  <c:v> t+3 </c:v>
                </c:pt>
                <c:pt idx="4">
                  <c:v> t+4 </c:v>
                </c:pt>
                <c:pt idx="5">
                  <c:v> t+5 </c:v>
                </c:pt>
                <c:pt idx="6">
                  <c:v> t+6 </c:v>
                </c:pt>
                <c:pt idx="7">
                  <c:v>t+7</c:v>
                </c:pt>
                <c:pt idx="8">
                  <c:v>t+8</c:v>
                </c:pt>
                <c:pt idx="9">
                  <c:v>t+9</c:v>
                </c:pt>
                <c:pt idx="10">
                  <c:v>t+10</c:v>
                </c:pt>
              </c:strCache>
            </c:strRef>
          </c:cat>
          <c:val>
            <c:numRef>
              <c:f>'Chapter 6 - Assessment'!$D$60:$N$60</c:f>
              <c:numCache>
                <c:formatCode>_(* #,##0.00_);_(* \(#,##0.00\);_(* "-"??_);_(@_)</c:formatCode>
                <c:ptCount val="11"/>
                <c:pt idx="0">
                  <c:v>1.8242410055571427</c:v>
                </c:pt>
                <c:pt idx="1">
                  <c:v>1.8242410055571427</c:v>
                </c:pt>
                <c:pt idx="2">
                  <c:v>1.8242410055571427</c:v>
                </c:pt>
                <c:pt idx="3">
                  <c:v>1.8242410055571427</c:v>
                </c:pt>
                <c:pt idx="4">
                  <c:v>1.8242410055571427</c:v>
                </c:pt>
                <c:pt idx="5">
                  <c:v>1.8242410055571427</c:v>
                </c:pt>
                <c:pt idx="6">
                  <c:v>1.8242410055571427</c:v>
                </c:pt>
                <c:pt idx="7">
                  <c:v>1.8242410055571427</c:v>
                </c:pt>
                <c:pt idx="8">
                  <c:v>1.8242410055571427</c:v>
                </c:pt>
                <c:pt idx="9">
                  <c:v>1.8242410055571427</c:v>
                </c:pt>
                <c:pt idx="10">
                  <c:v>1.8242410055571427</c:v>
                </c:pt>
              </c:numCache>
            </c:numRef>
          </c:val>
          <c:extLst>
            <c:ext xmlns:c16="http://schemas.microsoft.com/office/drawing/2014/chart" uri="{C3380CC4-5D6E-409C-BE32-E72D297353CC}">
              <c16:uniqueId val="{00000001-975D-4EE6-BBEE-50D4F849F231}"/>
            </c:ext>
          </c:extLst>
        </c:ser>
        <c:ser>
          <c:idx val="1"/>
          <c:order val="2"/>
          <c:tx>
            <c:strRef>
              <c:f>'Chapter 6 - Assessment'!$B$61</c:f>
              <c:strCache>
                <c:ptCount val="1"/>
                <c:pt idx="0">
                  <c:v>Indirect N2O emissions leaching</c:v>
                </c:pt>
              </c:strCache>
            </c:strRef>
          </c:tx>
          <c:spPr>
            <a:solidFill>
              <a:srgbClr val="F8DABA"/>
            </a:solidFill>
            <a:ln>
              <a:noFill/>
            </a:ln>
            <a:effectLst/>
          </c:spPr>
          <c:invertIfNegative val="0"/>
          <c:dLbls>
            <c:delete val="1"/>
          </c:dLbls>
          <c:cat>
            <c:strRef>
              <c:f>'Chapter 6 - Assessment'!$D$47:$N$47</c:f>
              <c:strCache>
                <c:ptCount val="11"/>
                <c:pt idx="0">
                  <c:v> t </c:v>
                </c:pt>
                <c:pt idx="1">
                  <c:v> t+1 </c:v>
                </c:pt>
                <c:pt idx="2">
                  <c:v> t+2 </c:v>
                </c:pt>
                <c:pt idx="3">
                  <c:v> t+3 </c:v>
                </c:pt>
                <c:pt idx="4">
                  <c:v> t+4 </c:v>
                </c:pt>
                <c:pt idx="5">
                  <c:v> t+5 </c:v>
                </c:pt>
                <c:pt idx="6">
                  <c:v> t+6 </c:v>
                </c:pt>
                <c:pt idx="7">
                  <c:v>t+7</c:v>
                </c:pt>
                <c:pt idx="8">
                  <c:v>t+8</c:v>
                </c:pt>
                <c:pt idx="9">
                  <c:v>t+9</c:v>
                </c:pt>
                <c:pt idx="10">
                  <c:v>t+10</c:v>
                </c:pt>
              </c:strCache>
            </c:strRef>
          </c:cat>
          <c:val>
            <c:numRef>
              <c:f>'Chapter 6 - Assessment'!$D$61:$N$61</c:f>
              <c:numCache>
                <c:formatCode>_(* #,##0.00_);_(* \(#,##0.00\);_(* "-"??_);_(@_)</c:formatCode>
                <c:ptCount val="11"/>
                <c:pt idx="0">
                  <c:v>3.2106641697805709</c:v>
                </c:pt>
                <c:pt idx="1">
                  <c:v>3.2106641697805709</c:v>
                </c:pt>
                <c:pt idx="2">
                  <c:v>3.2106641697805709</c:v>
                </c:pt>
                <c:pt idx="3">
                  <c:v>3.2106641697805709</c:v>
                </c:pt>
                <c:pt idx="4">
                  <c:v>3.2106641697805709</c:v>
                </c:pt>
                <c:pt idx="5">
                  <c:v>3.2106641697805709</c:v>
                </c:pt>
                <c:pt idx="6">
                  <c:v>3.2106641697805709</c:v>
                </c:pt>
                <c:pt idx="7">
                  <c:v>3.2106641697805709</c:v>
                </c:pt>
                <c:pt idx="8">
                  <c:v>3.2106641697805709</c:v>
                </c:pt>
                <c:pt idx="9">
                  <c:v>3.2106641697805709</c:v>
                </c:pt>
                <c:pt idx="10">
                  <c:v>3.2106641697805709</c:v>
                </c:pt>
              </c:numCache>
            </c:numRef>
          </c:val>
          <c:extLst>
            <c:ext xmlns:c16="http://schemas.microsoft.com/office/drawing/2014/chart" uri="{C3380CC4-5D6E-409C-BE32-E72D297353CC}">
              <c16:uniqueId val="{00000002-975D-4EE6-BBEE-50D4F849F231}"/>
            </c:ext>
          </c:extLst>
        </c:ser>
        <c:ser>
          <c:idx val="3"/>
          <c:order val="3"/>
          <c:tx>
            <c:strRef>
              <c:f>'Chapter 6 - Assessment'!$B$112</c:f>
              <c:strCache>
                <c:ptCount val="1"/>
                <c:pt idx="0">
                  <c:v>Total WAM-MED emissions</c:v>
                </c:pt>
              </c:strCache>
            </c:strRef>
          </c:tx>
          <c:spPr>
            <a:no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'Chapter 6 - Assessment'!$D$47:$N$47</c:f>
              <c:strCache>
                <c:ptCount val="11"/>
                <c:pt idx="0">
                  <c:v> t </c:v>
                </c:pt>
                <c:pt idx="1">
                  <c:v> t+1 </c:v>
                </c:pt>
                <c:pt idx="2">
                  <c:v> t+2 </c:v>
                </c:pt>
                <c:pt idx="3">
                  <c:v> t+3 </c:v>
                </c:pt>
                <c:pt idx="4">
                  <c:v> t+4 </c:v>
                </c:pt>
                <c:pt idx="5">
                  <c:v> t+5 </c:v>
                </c:pt>
                <c:pt idx="6">
                  <c:v> t+6 </c:v>
                </c:pt>
                <c:pt idx="7">
                  <c:v>t+7</c:v>
                </c:pt>
                <c:pt idx="8">
                  <c:v>t+8</c:v>
                </c:pt>
                <c:pt idx="9">
                  <c:v>t+9</c:v>
                </c:pt>
                <c:pt idx="10">
                  <c:v>t+10</c:v>
                </c:pt>
              </c:strCache>
            </c:strRef>
          </c:cat>
          <c:val>
            <c:numRef>
              <c:f>'Chapter 6 - Assessment'!$D$64:$N$64</c:f>
              <c:numCache>
                <c:formatCode>_(* #,##0.00_);_(* \(#,##0.00\);_(* "-"??_);_(@_)</c:formatCode>
                <c:ptCount val="11"/>
                <c:pt idx="0">
                  <c:v>17.196511879052</c:v>
                </c:pt>
                <c:pt idx="1">
                  <c:v>17.196511879052</c:v>
                </c:pt>
                <c:pt idx="2">
                  <c:v>17.196511879052</c:v>
                </c:pt>
                <c:pt idx="3">
                  <c:v>17.196511879052</c:v>
                </c:pt>
                <c:pt idx="4">
                  <c:v>17.196511879052</c:v>
                </c:pt>
                <c:pt idx="5">
                  <c:v>17.196511879052</c:v>
                </c:pt>
                <c:pt idx="6">
                  <c:v>17.196511879052</c:v>
                </c:pt>
                <c:pt idx="7">
                  <c:v>17.196511879052</c:v>
                </c:pt>
                <c:pt idx="8">
                  <c:v>17.196511879052</c:v>
                </c:pt>
                <c:pt idx="9">
                  <c:v>17.196511879052</c:v>
                </c:pt>
                <c:pt idx="10">
                  <c:v>17.196511879052</c:v>
                </c:pt>
              </c:numCache>
            </c:numRef>
          </c:val>
          <c:extLst>
            <c:ext xmlns:c16="http://schemas.microsoft.com/office/drawing/2014/chart" uri="{C3380CC4-5D6E-409C-BE32-E72D297353CC}">
              <c16:uniqueId val="{00000003-975D-4EE6-BBEE-50D4F849F231}"/>
            </c:ext>
          </c:extLst>
        </c:ser>
        <c:dLbls>
          <c:dLblPos val="inBase"/>
          <c:showLegendKey val="0"/>
          <c:showVal val="1"/>
          <c:showCatName val="0"/>
          <c:showSerName val="0"/>
          <c:showPercent val="0"/>
          <c:showBubbleSize val="0"/>
        </c:dLbls>
        <c:gapWidth val="150"/>
        <c:overlap val="100"/>
        <c:axId val="805584544"/>
        <c:axId val="805590776"/>
      </c:barChart>
      <c:catAx>
        <c:axId val="805584544"/>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Year</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05590776"/>
        <c:crosses val="autoZero"/>
        <c:auto val="1"/>
        <c:lblAlgn val="ctr"/>
        <c:lblOffset val="100"/>
        <c:noMultiLvlLbl val="0"/>
      </c:catAx>
      <c:valAx>
        <c:axId val="805590776"/>
        <c:scaling>
          <c:orientation val="minMax"/>
          <c:max val="25"/>
          <c:min val="0"/>
        </c:scaling>
        <c:delete val="0"/>
        <c:axPos val="l"/>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a:t>N</a:t>
                </a:r>
                <a:r>
                  <a:rPr lang="en-US" sz="1400" baseline="-25000"/>
                  <a:t>2</a:t>
                </a:r>
                <a:r>
                  <a:rPr lang="en-US" sz="1400"/>
                  <a:t>O Emissions from Urea, Gg CO</a:t>
                </a:r>
                <a:r>
                  <a:rPr lang="en-US" sz="1400" baseline="-25000"/>
                  <a:t>2</a:t>
                </a:r>
                <a:r>
                  <a:rPr lang="en-US" sz="1400"/>
                  <a:t>e</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_(* \(#,##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0558454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'Chapter 6 - Assessment'!$B$45</c:f>
              <c:strCache>
                <c:ptCount val="1"/>
                <c:pt idx="0">
                  <c:v>Without Measure (WOM)</c:v>
                </c:pt>
              </c:strCache>
            </c:strRef>
          </c:tx>
          <c:spPr>
            <a:ln w="28575" cap="rnd">
              <a:solidFill>
                <a:schemeClr val="bg1">
                  <a:lumMod val="50000"/>
                </a:schemeClr>
              </a:solidFill>
              <a:round/>
            </a:ln>
            <a:effectLst/>
          </c:spPr>
          <c:marker>
            <c:symbol val="circle"/>
            <c:size val="5"/>
            <c:spPr>
              <a:solidFill>
                <a:schemeClr val="bg1">
                  <a:lumMod val="50000"/>
                </a:schemeClr>
              </a:solidFill>
              <a:ln w="28575">
                <a:solidFill>
                  <a:schemeClr val="bg1">
                    <a:lumMod val="50000"/>
                  </a:schemeClr>
                </a:solidFill>
              </a:ln>
              <a:effectLst/>
            </c:spPr>
          </c:marker>
          <c:cat>
            <c:strRef>
              <c:f>'Chapter 6 - Assessment'!$D$47:$N$47</c:f>
              <c:strCache>
                <c:ptCount val="11"/>
                <c:pt idx="0">
                  <c:v> t </c:v>
                </c:pt>
                <c:pt idx="1">
                  <c:v> t+1 </c:v>
                </c:pt>
                <c:pt idx="2">
                  <c:v> t+2 </c:v>
                </c:pt>
                <c:pt idx="3">
                  <c:v> t+3 </c:v>
                </c:pt>
                <c:pt idx="4">
                  <c:v> t+4 </c:v>
                </c:pt>
                <c:pt idx="5">
                  <c:v> t+5 </c:v>
                </c:pt>
                <c:pt idx="6">
                  <c:v> t+6 </c:v>
                </c:pt>
                <c:pt idx="7">
                  <c:v>t+7</c:v>
                </c:pt>
                <c:pt idx="8">
                  <c:v>t+8</c:v>
                </c:pt>
                <c:pt idx="9">
                  <c:v>t+9</c:v>
                </c:pt>
                <c:pt idx="10">
                  <c:v>t+10</c:v>
                </c:pt>
              </c:strCache>
            </c:strRef>
          </c:cat>
          <c:val>
            <c:numRef>
              <c:f>'Chapter 6 - Assessment'!$D$64:$N$64</c:f>
              <c:numCache>
                <c:formatCode>_(* #,##0.00_);_(* \(#,##0.00\);_(* "-"??_);_(@_)</c:formatCode>
                <c:ptCount val="11"/>
                <c:pt idx="0">
                  <c:v>17.196511879052</c:v>
                </c:pt>
                <c:pt idx="1">
                  <c:v>17.196511879052</c:v>
                </c:pt>
                <c:pt idx="2">
                  <c:v>17.196511879052</c:v>
                </c:pt>
                <c:pt idx="3">
                  <c:v>17.196511879052</c:v>
                </c:pt>
                <c:pt idx="4">
                  <c:v>17.196511879052</c:v>
                </c:pt>
                <c:pt idx="5">
                  <c:v>17.196511879052</c:v>
                </c:pt>
                <c:pt idx="6">
                  <c:v>17.196511879052</c:v>
                </c:pt>
                <c:pt idx="7">
                  <c:v>17.196511879052</c:v>
                </c:pt>
                <c:pt idx="8">
                  <c:v>17.196511879052</c:v>
                </c:pt>
                <c:pt idx="9">
                  <c:v>17.196511879052</c:v>
                </c:pt>
                <c:pt idx="10">
                  <c:v>17.196511879052</c:v>
                </c:pt>
              </c:numCache>
            </c:numRef>
          </c:val>
          <c:smooth val="0"/>
          <c:extLst>
            <c:ext xmlns:c16="http://schemas.microsoft.com/office/drawing/2014/chart" uri="{C3380CC4-5D6E-409C-BE32-E72D297353CC}">
              <c16:uniqueId val="{00000000-02E5-4EAF-B220-633FF45CD81E}"/>
            </c:ext>
          </c:extLst>
        </c:ser>
        <c:ser>
          <c:idx val="1"/>
          <c:order val="1"/>
          <c:tx>
            <c:strRef>
              <c:f>'Chapter 6 - Assessment'!$B$69</c:f>
              <c:strCache>
                <c:ptCount val="1"/>
                <c:pt idx="0">
                  <c:v>WAM-LOW</c:v>
                </c:pt>
              </c:strCache>
            </c:strRef>
          </c:tx>
          <c:spPr>
            <a:ln w="28575" cap="rnd">
              <a:solidFill>
                <a:srgbClr val="F8DABA"/>
              </a:solidFill>
              <a:round/>
            </a:ln>
            <a:effectLst/>
          </c:spPr>
          <c:marker>
            <c:symbol val="circle"/>
            <c:size val="5"/>
            <c:spPr>
              <a:solidFill>
                <a:srgbClr val="F8DABA"/>
              </a:solidFill>
              <a:ln w="28575">
                <a:solidFill>
                  <a:srgbClr val="F8DABA"/>
                </a:solidFill>
              </a:ln>
              <a:effectLst/>
            </c:spPr>
          </c:marker>
          <c:cat>
            <c:strRef>
              <c:f>'Chapter 6 - Assessment'!$D$47:$N$47</c:f>
              <c:strCache>
                <c:ptCount val="11"/>
                <c:pt idx="0">
                  <c:v> t </c:v>
                </c:pt>
                <c:pt idx="1">
                  <c:v> t+1 </c:v>
                </c:pt>
                <c:pt idx="2">
                  <c:v> t+2 </c:v>
                </c:pt>
                <c:pt idx="3">
                  <c:v> t+3 </c:v>
                </c:pt>
                <c:pt idx="4">
                  <c:v> t+4 </c:v>
                </c:pt>
                <c:pt idx="5">
                  <c:v> t+5 </c:v>
                </c:pt>
                <c:pt idx="6">
                  <c:v> t+6 </c:v>
                </c:pt>
                <c:pt idx="7">
                  <c:v>t+7</c:v>
                </c:pt>
                <c:pt idx="8">
                  <c:v>t+8</c:v>
                </c:pt>
                <c:pt idx="9">
                  <c:v>t+9</c:v>
                </c:pt>
                <c:pt idx="10">
                  <c:v>t+10</c:v>
                </c:pt>
              </c:strCache>
            </c:strRef>
          </c:cat>
          <c:val>
            <c:numRef>
              <c:f>'Chapter 6 - Assessment'!$D$89:$N$89</c:f>
              <c:numCache>
                <c:formatCode>_(* #,##0.00_);_(* \(#,##0.00\);_(* "-"??_);_(@_)</c:formatCode>
                <c:ptCount val="11"/>
                <c:pt idx="0">
                  <c:v>17.196511879052</c:v>
                </c:pt>
                <c:pt idx="1">
                  <c:v>17.196511879052</c:v>
                </c:pt>
                <c:pt idx="2">
                  <c:v>17.196511879052</c:v>
                </c:pt>
                <c:pt idx="3">
                  <c:v>17.081706311768933</c:v>
                </c:pt>
                <c:pt idx="4">
                  <c:v>16.959725396530683</c:v>
                </c:pt>
                <c:pt idx="5">
                  <c:v>16.837744481292425</c:v>
                </c:pt>
                <c:pt idx="6">
                  <c:v>16.550730563084773</c:v>
                </c:pt>
                <c:pt idx="7">
                  <c:v>16.263716644877114</c:v>
                </c:pt>
                <c:pt idx="8">
                  <c:v>15.976702726669458</c:v>
                </c:pt>
                <c:pt idx="9">
                  <c:v>15.689688808461799</c:v>
                </c:pt>
                <c:pt idx="10">
                  <c:v>15.402674890254143</c:v>
                </c:pt>
              </c:numCache>
            </c:numRef>
          </c:val>
          <c:smooth val="0"/>
          <c:extLst>
            <c:ext xmlns:c16="http://schemas.microsoft.com/office/drawing/2014/chart" uri="{C3380CC4-5D6E-409C-BE32-E72D297353CC}">
              <c16:uniqueId val="{00000001-02E5-4EAF-B220-633FF45CD81E}"/>
            </c:ext>
          </c:extLst>
        </c:ser>
        <c:ser>
          <c:idx val="2"/>
          <c:order val="2"/>
          <c:tx>
            <c:strRef>
              <c:f>'Chapter 6 - Assessment'!$B$92</c:f>
              <c:strCache>
                <c:ptCount val="1"/>
                <c:pt idx="0">
                  <c:v>WAM-MED</c:v>
                </c:pt>
              </c:strCache>
            </c:strRef>
          </c:tx>
          <c:spPr>
            <a:ln w="28575" cap="rnd">
              <a:solidFill>
                <a:srgbClr val="DCDAFA"/>
              </a:solidFill>
              <a:round/>
            </a:ln>
            <a:effectLst/>
          </c:spPr>
          <c:marker>
            <c:symbol val="circle"/>
            <c:size val="5"/>
            <c:spPr>
              <a:solidFill>
                <a:srgbClr val="DCDAFA"/>
              </a:solidFill>
              <a:ln w="28575">
                <a:solidFill>
                  <a:srgbClr val="DCDAFA"/>
                </a:solidFill>
              </a:ln>
              <a:effectLst/>
            </c:spPr>
          </c:marker>
          <c:cat>
            <c:strRef>
              <c:f>'Chapter 6 - Assessment'!$D$47:$N$47</c:f>
              <c:strCache>
                <c:ptCount val="11"/>
                <c:pt idx="0">
                  <c:v> t </c:v>
                </c:pt>
                <c:pt idx="1">
                  <c:v> t+1 </c:v>
                </c:pt>
                <c:pt idx="2">
                  <c:v> t+2 </c:v>
                </c:pt>
                <c:pt idx="3">
                  <c:v> t+3 </c:v>
                </c:pt>
                <c:pt idx="4">
                  <c:v> t+4 </c:v>
                </c:pt>
                <c:pt idx="5">
                  <c:v> t+5 </c:v>
                </c:pt>
                <c:pt idx="6">
                  <c:v> t+6 </c:v>
                </c:pt>
                <c:pt idx="7">
                  <c:v>t+7</c:v>
                </c:pt>
                <c:pt idx="8">
                  <c:v>t+8</c:v>
                </c:pt>
                <c:pt idx="9">
                  <c:v>t+9</c:v>
                </c:pt>
                <c:pt idx="10">
                  <c:v>t+10</c:v>
                </c:pt>
              </c:strCache>
            </c:strRef>
          </c:cat>
          <c:val>
            <c:numRef>
              <c:f>'Chapter 6 - Assessment'!$D$112:$N$112</c:f>
              <c:numCache>
                <c:formatCode>_(* #,##0.00_);_(* \(#,##0.00\);_(* "-"??_);_(@_)</c:formatCode>
                <c:ptCount val="11"/>
                <c:pt idx="0">
                  <c:v>17.196511879052</c:v>
                </c:pt>
                <c:pt idx="1">
                  <c:v>17.196511879052</c:v>
                </c:pt>
                <c:pt idx="2">
                  <c:v>17.196511879052</c:v>
                </c:pt>
                <c:pt idx="3">
                  <c:v>16.959725396530683</c:v>
                </c:pt>
                <c:pt idx="4">
                  <c:v>16.722938914009362</c:v>
                </c:pt>
                <c:pt idx="5">
                  <c:v>16.478977083532858</c:v>
                </c:pt>
                <c:pt idx="6">
                  <c:v>15.904949247117544</c:v>
                </c:pt>
                <c:pt idx="7">
                  <c:v>15.33092141070223</c:v>
                </c:pt>
                <c:pt idx="8">
                  <c:v>14.756893574286915</c:v>
                </c:pt>
                <c:pt idx="9">
                  <c:v>14.182865737871602</c:v>
                </c:pt>
                <c:pt idx="10">
                  <c:v>13.608837901456287</c:v>
                </c:pt>
              </c:numCache>
            </c:numRef>
          </c:val>
          <c:smooth val="0"/>
          <c:extLst>
            <c:ext xmlns:c16="http://schemas.microsoft.com/office/drawing/2014/chart" uri="{C3380CC4-5D6E-409C-BE32-E72D297353CC}">
              <c16:uniqueId val="{00000002-02E5-4EAF-B220-633FF45CD81E}"/>
            </c:ext>
          </c:extLst>
        </c:ser>
        <c:ser>
          <c:idx val="3"/>
          <c:order val="3"/>
          <c:tx>
            <c:strRef>
              <c:f>'Chapter 6 - Assessment'!$B$115</c:f>
              <c:strCache>
                <c:ptCount val="1"/>
                <c:pt idx="0">
                  <c:v>WAM-HIGH</c:v>
                </c:pt>
              </c:strCache>
            </c:strRef>
          </c:tx>
          <c:spPr>
            <a:ln w="28575" cap="rnd">
              <a:solidFill>
                <a:srgbClr val="B0ABF4"/>
              </a:solidFill>
              <a:round/>
            </a:ln>
            <a:effectLst/>
          </c:spPr>
          <c:marker>
            <c:symbol val="circle"/>
            <c:size val="5"/>
            <c:spPr>
              <a:solidFill>
                <a:srgbClr val="B0ABF4"/>
              </a:solidFill>
              <a:ln w="28575">
                <a:solidFill>
                  <a:srgbClr val="B0ABF4"/>
                </a:solidFill>
              </a:ln>
              <a:effectLst/>
            </c:spPr>
          </c:marker>
          <c:cat>
            <c:strRef>
              <c:f>'Chapter 6 - Assessment'!$D$47:$N$47</c:f>
              <c:strCache>
                <c:ptCount val="11"/>
                <c:pt idx="0">
                  <c:v> t </c:v>
                </c:pt>
                <c:pt idx="1">
                  <c:v> t+1 </c:v>
                </c:pt>
                <c:pt idx="2">
                  <c:v> t+2 </c:v>
                </c:pt>
                <c:pt idx="3">
                  <c:v> t+3 </c:v>
                </c:pt>
                <c:pt idx="4">
                  <c:v> t+4 </c:v>
                </c:pt>
                <c:pt idx="5">
                  <c:v> t+5 </c:v>
                </c:pt>
                <c:pt idx="6">
                  <c:v> t+6 </c:v>
                </c:pt>
                <c:pt idx="7">
                  <c:v>t+7</c:v>
                </c:pt>
                <c:pt idx="8">
                  <c:v>t+8</c:v>
                </c:pt>
                <c:pt idx="9">
                  <c:v>t+9</c:v>
                </c:pt>
                <c:pt idx="10">
                  <c:v>t+10</c:v>
                </c:pt>
              </c:strCache>
            </c:strRef>
          </c:cat>
          <c:val>
            <c:numRef>
              <c:f>'Chapter 6 - Assessment'!$D$135:$N$135</c:f>
              <c:numCache>
                <c:formatCode>_(* #,##0.00_);_(* \(#,##0.00\);_(* "-"??_);_(@_)</c:formatCode>
                <c:ptCount val="11"/>
                <c:pt idx="0">
                  <c:v>17.196511879052</c:v>
                </c:pt>
                <c:pt idx="1">
                  <c:v>17.196511879052</c:v>
                </c:pt>
                <c:pt idx="2">
                  <c:v>17.196511879052</c:v>
                </c:pt>
                <c:pt idx="3">
                  <c:v>16.837744481292425</c:v>
                </c:pt>
                <c:pt idx="4">
                  <c:v>16.478977083532858</c:v>
                </c:pt>
                <c:pt idx="5">
                  <c:v>16.120209685773286</c:v>
                </c:pt>
                <c:pt idx="6">
                  <c:v>15.259167931150316</c:v>
                </c:pt>
                <c:pt idx="7">
                  <c:v>14.398126176527342</c:v>
                </c:pt>
                <c:pt idx="8">
                  <c:v>13.537084421904371</c:v>
                </c:pt>
                <c:pt idx="9">
                  <c:v>12.676042667281399</c:v>
                </c:pt>
                <c:pt idx="10">
                  <c:v>11.81500091265843</c:v>
                </c:pt>
              </c:numCache>
            </c:numRef>
          </c:val>
          <c:smooth val="0"/>
          <c:extLst>
            <c:ext xmlns:c16="http://schemas.microsoft.com/office/drawing/2014/chart" uri="{C3380CC4-5D6E-409C-BE32-E72D297353CC}">
              <c16:uniqueId val="{00000003-02E5-4EAF-B220-633FF45CD81E}"/>
            </c:ext>
          </c:extLst>
        </c:ser>
        <c:dLbls>
          <c:showLegendKey val="0"/>
          <c:showVal val="0"/>
          <c:showCatName val="0"/>
          <c:showSerName val="0"/>
          <c:showPercent val="0"/>
          <c:showBubbleSize val="0"/>
        </c:dLbls>
        <c:marker val="1"/>
        <c:smooth val="0"/>
        <c:axId val="805584544"/>
        <c:axId val="805590776"/>
      </c:lineChart>
      <c:catAx>
        <c:axId val="8055845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Year</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05590776"/>
        <c:crosses val="autoZero"/>
        <c:auto val="1"/>
        <c:lblAlgn val="ctr"/>
        <c:lblOffset val="100"/>
        <c:noMultiLvlLbl val="1"/>
      </c:catAx>
      <c:valAx>
        <c:axId val="805590776"/>
        <c:scaling>
          <c:orientation val="minMax"/>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a:t>GHG emissions, Gg CO</a:t>
                </a:r>
                <a:r>
                  <a:rPr lang="en-US" sz="1100" baseline="-25000"/>
                  <a:t>2</a:t>
                </a:r>
                <a:r>
                  <a:rPr lang="en-US" sz="1100"/>
                  <a:t>e </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_(* \(#,##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05584544"/>
        <c:crosses val="autoZero"/>
        <c:crossBetween val="between"/>
      </c:valAx>
      <c:spPr>
        <a:noFill/>
        <a:ln>
          <a:noFill/>
        </a:ln>
        <a:effectLst/>
      </c:spPr>
    </c:plotArea>
    <c:legend>
      <c:legendPos val="t"/>
      <c:layout>
        <c:manualLayout>
          <c:xMode val="edge"/>
          <c:yMode val="edge"/>
          <c:x val="9.6921896234850216E-2"/>
          <c:y val="1.5263817661078347E-2"/>
          <c:w val="0.88631810714313697"/>
          <c:h val="9.2092741513858226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049087363974174E-2"/>
          <c:y val="0.15437976915742246"/>
          <c:w val="0.92566772677277898"/>
          <c:h val="0.74547954665656735"/>
        </c:manualLayout>
      </c:layout>
      <c:barChart>
        <c:barDir val="col"/>
        <c:grouping val="clustered"/>
        <c:varyColors val="0"/>
        <c:ser>
          <c:idx val="1"/>
          <c:order val="0"/>
          <c:tx>
            <c:strRef>
              <c:f>'Chapter 7 - Assessment'!$D$203</c:f>
              <c:strCache>
                <c:ptCount val="1"/>
                <c:pt idx="0">
                  <c:v>WAM emissions from SOC change</c:v>
                </c:pt>
              </c:strCache>
            </c:strRef>
          </c:tx>
          <c:spPr>
            <a:solidFill>
              <a:srgbClr val="FFD7B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1750-3349-BDD6-684233D0B6B8}"/>
                </c:ext>
              </c:extLst>
            </c:dLbl>
            <c:numFmt formatCode="#,##0.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'Chapter 7 - Assessment'!$F$118:$AT$118</c:f>
              <c:strCache>
                <c:ptCount val="41"/>
                <c:pt idx="0">
                  <c:v>t-20</c:v>
                </c:pt>
                <c:pt idx="1">
                  <c:v>t-19</c:v>
                </c:pt>
                <c:pt idx="2">
                  <c:v>t-18</c:v>
                </c:pt>
                <c:pt idx="3">
                  <c:v>t-17</c:v>
                </c:pt>
                <c:pt idx="4">
                  <c:v>t-16</c:v>
                </c:pt>
                <c:pt idx="5">
                  <c:v>t-15</c:v>
                </c:pt>
                <c:pt idx="6">
                  <c:v>t-14</c:v>
                </c:pt>
                <c:pt idx="7">
                  <c:v>t-13</c:v>
                </c:pt>
                <c:pt idx="8">
                  <c:v>t-12</c:v>
                </c:pt>
                <c:pt idx="9">
                  <c:v>t-11</c:v>
                </c:pt>
                <c:pt idx="10">
                  <c:v>t-10</c:v>
                </c:pt>
                <c:pt idx="11">
                  <c:v>t-9</c:v>
                </c:pt>
                <c:pt idx="12">
                  <c:v>t-8</c:v>
                </c:pt>
                <c:pt idx="13">
                  <c:v>t-7</c:v>
                </c:pt>
                <c:pt idx="14">
                  <c:v>t-6</c:v>
                </c:pt>
                <c:pt idx="15">
                  <c:v>t-5</c:v>
                </c:pt>
                <c:pt idx="16">
                  <c:v>t-4</c:v>
                </c:pt>
                <c:pt idx="17">
                  <c:v>t-3</c:v>
                </c:pt>
                <c:pt idx="18">
                  <c:v>t-2</c:v>
                </c:pt>
                <c:pt idx="19">
                  <c:v>t-1</c:v>
                </c:pt>
                <c:pt idx="20">
                  <c:v>t</c:v>
                </c:pt>
                <c:pt idx="21">
                  <c:v>t+1</c:v>
                </c:pt>
                <c:pt idx="22">
                  <c:v>t+2</c:v>
                </c:pt>
                <c:pt idx="23">
                  <c:v>t+3</c:v>
                </c:pt>
                <c:pt idx="24">
                  <c:v>t+4</c:v>
                </c:pt>
                <c:pt idx="25">
                  <c:v>t+5</c:v>
                </c:pt>
                <c:pt idx="26">
                  <c:v>t+6</c:v>
                </c:pt>
                <c:pt idx="27">
                  <c:v>t+7</c:v>
                </c:pt>
                <c:pt idx="28">
                  <c:v>t+8</c:v>
                </c:pt>
                <c:pt idx="29">
                  <c:v>t+9</c:v>
                </c:pt>
                <c:pt idx="30">
                  <c:v>t+10</c:v>
                </c:pt>
                <c:pt idx="31">
                  <c:v>t+11</c:v>
                </c:pt>
                <c:pt idx="32">
                  <c:v>t+12</c:v>
                </c:pt>
                <c:pt idx="33">
                  <c:v>t+13</c:v>
                </c:pt>
                <c:pt idx="34">
                  <c:v>t+14</c:v>
                </c:pt>
                <c:pt idx="35">
                  <c:v>t+15</c:v>
                </c:pt>
                <c:pt idx="36">
                  <c:v>t+16</c:v>
                </c:pt>
                <c:pt idx="37">
                  <c:v>t+17</c:v>
                </c:pt>
                <c:pt idx="38">
                  <c:v>t+18</c:v>
                </c:pt>
                <c:pt idx="39">
                  <c:v>t+19</c:v>
                </c:pt>
                <c:pt idx="40">
                  <c:v>t+20</c:v>
                </c:pt>
              </c:strCache>
            </c:strRef>
          </c:cat>
          <c:val>
            <c:numRef>
              <c:f>'Chapter 7 - Assessment'!$F$203:$AT$203</c:f>
              <c:numCache>
                <c:formatCode>#,##0.00</c:formatCode>
                <c:ptCount val="41"/>
                <c:pt idx="0">
                  <c:v>0</c:v>
                </c:pt>
                <c:pt idx="1">
                  <c:v>-0.81955082310493255</c:v>
                </c:pt>
                <c:pt idx="2">
                  <c:v>-1.6391016462096943</c:v>
                </c:pt>
                <c:pt idx="3">
                  <c:v>-2.458652469314627</c:v>
                </c:pt>
                <c:pt idx="4">
                  <c:v>-3.2782032924194739</c:v>
                </c:pt>
                <c:pt idx="5">
                  <c:v>-4.0977541155243644</c:v>
                </c:pt>
                <c:pt idx="6">
                  <c:v>-4.917304938629127</c:v>
                </c:pt>
                <c:pt idx="7">
                  <c:v>-5.736855761733973</c:v>
                </c:pt>
                <c:pt idx="8">
                  <c:v>-6.55640658483882</c:v>
                </c:pt>
                <c:pt idx="9">
                  <c:v>-7.3759574079437522</c:v>
                </c:pt>
                <c:pt idx="10">
                  <c:v>-8.1955082310485583</c:v>
                </c:pt>
                <c:pt idx="11">
                  <c:v>-9.0150590541534914</c:v>
                </c:pt>
                <c:pt idx="12">
                  <c:v>-9.8346098772583375</c:v>
                </c:pt>
                <c:pt idx="13">
                  <c:v>-10.654160700363269</c:v>
                </c:pt>
                <c:pt idx="14">
                  <c:v>-11.473711523468076</c:v>
                </c:pt>
                <c:pt idx="15">
                  <c:v>-12.293262346572964</c:v>
                </c:pt>
                <c:pt idx="16">
                  <c:v>-13.112813169677853</c:v>
                </c:pt>
                <c:pt idx="17">
                  <c:v>-13.932363992782658</c:v>
                </c:pt>
                <c:pt idx="18">
                  <c:v>-14.751914815887465</c:v>
                </c:pt>
                <c:pt idx="19">
                  <c:v>-15.571465638992441</c:v>
                </c:pt>
                <c:pt idx="20">
                  <c:v>-16.391016462097326</c:v>
                </c:pt>
                <c:pt idx="21">
                  <c:v>-15.746413478480797</c:v>
                </c:pt>
                <c:pt idx="22">
                  <c:v>-15.10181049486452</c:v>
                </c:pt>
                <c:pt idx="23">
                  <c:v>-14.457207511248113</c:v>
                </c:pt>
                <c:pt idx="24">
                  <c:v>-13.812604527631709</c:v>
                </c:pt>
                <c:pt idx="25">
                  <c:v>-13.168001544015262</c:v>
                </c:pt>
                <c:pt idx="26">
                  <c:v>-12.523398560398942</c:v>
                </c:pt>
                <c:pt idx="27">
                  <c:v>-11.87879557678262</c:v>
                </c:pt>
                <c:pt idx="28">
                  <c:v>-11.234192593166261</c:v>
                </c:pt>
                <c:pt idx="29">
                  <c:v>-10.589589609549812</c:v>
                </c:pt>
                <c:pt idx="30">
                  <c:v>-9.94498662593349</c:v>
                </c:pt>
                <c:pt idx="31">
                  <c:v>-9.3003836423170441</c:v>
                </c:pt>
                <c:pt idx="32">
                  <c:v>-8.6557806587005537</c:v>
                </c:pt>
                <c:pt idx="33">
                  <c:v>-8.0111776750841486</c:v>
                </c:pt>
                <c:pt idx="34">
                  <c:v>-7.3665746914678287</c:v>
                </c:pt>
                <c:pt idx="35">
                  <c:v>-6.7219717078514671</c:v>
                </c:pt>
                <c:pt idx="36">
                  <c:v>-6.0773687242349768</c:v>
                </c:pt>
                <c:pt idx="37">
                  <c:v>-5.432765740618656</c:v>
                </c:pt>
                <c:pt idx="38">
                  <c:v>-4.7881627570023371</c:v>
                </c:pt>
                <c:pt idx="39">
                  <c:v>-4.1435597733858476</c:v>
                </c:pt>
                <c:pt idx="40">
                  <c:v>-3.4989567897693989</c:v>
                </c:pt>
              </c:numCache>
            </c:numRef>
          </c:val>
          <c:extLst>
            <c:ext xmlns:c16="http://schemas.microsoft.com/office/drawing/2014/chart" uri="{C3380CC4-5D6E-409C-BE32-E72D297353CC}">
              <c16:uniqueId val="{00000001-9FE8-1744-95B4-A88170D63AF1}"/>
            </c:ext>
          </c:extLst>
        </c:ser>
        <c:dLbls>
          <c:dLblPos val="outEnd"/>
          <c:showLegendKey val="0"/>
          <c:showVal val="1"/>
          <c:showCatName val="0"/>
          <c:showSerName val="0"/>
          <c:showPercent val="0"/>
          <c:showBubbleSize val="0"/>
        </c:dLbls>
        <c:gapWidth val="150"/>
        <c:axId val="1268328592"/>
        <c:axId val="1268330672"/>
      </c:barChart>
      <c:catAx>
        <c:axId val="1268328592"/>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Year</a:t>
                </a:r>
              </a:p>
            </c:rich>
          </c:tx>
          <c:layout>
            <c:manualLayout>
              <c:xMode val="edge"/>
              <c:yMode val="edge"/>
              <c:x val="0.49078224333783155"/>
              <c:y val="2.975196850393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68330672"/>
        <c:crosses val="autoZero"/>
        <c:auto val="1"/>
        <c:lblAlgn val="ctr"/>
        <c:lblOffset val="100"/>
        <c:noMultiLvlLbl val="0"/>
      </c:catAx>
      <c:valAx>
        <c:axId val="1268330672"/>
        <c:scaling>
          <c:orientation val="minMax"/>
        </c:scaling>
        <c:delete val="0"/>
        <c:axPos val="l"/>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US"/>
                  <a:t>Emissions from SOC change, Gg CO</a:t>
                </a:r>
                <a:r>
                  <a:rPr lang="en-US" baseline="-25000"/>
                  <a:t>2</a:t>
                </a:r>
              </a:p>
            </c:rich>
          </c:tx>
          <c:layout>
            <c:manualLayout>
              <c:xMode val="edge"/>
              <c:yMode val="edge"/>
              <c:x val="1.0925363120605052E-2"/>
              <c:y val="0.24356608034018493"/>
            </c:manualLayout>
          </c:layout>
          <c:overlay val="0"/>
          <c:spPr>
            <a:noFill/>
            <a:ln>
              <a:noFill/>
            </a:ln>
            <a:effectLst/>
          </c:spPr>
          <c:txPr>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68328592"/>
        <c:crosses val="autoZero"/>
        <c:crossBetween val="between"/>
      </c:valAx>
      <c:spPr>
        <a:noFill/>
        <a:ln>
          <a:noFill/>
        </a:ln>
        <a:effectLst/>
      </c:spPr>
    </c:plotArea>
    <c:legend>
      <c:legendPos val="t"/>
      <c:layout>
        <c:manualLayout>
          <c:xMode val="edge"/>
          <c:yMode val="edge"/>
          <c:x val="3.5294656985148443E-2"/>
          <c:y val="0.94166666666666665"/>
          <c:w val="0.21225959355858573"/>
          <c:h val="4.430424321959754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1429942167613E-2"/>
          <c:y val="0.144248687664042"/>
          <c:w val="0.93955421646262904"/>
          <c:h val="0.74788090882579072"/>
        </c:manualLayout>
      </c:layout>
      <c:barChart>
        <c:barDir val="col"/>
        <c:grouping val="clustered"/>
        <c:varyColors val="0"/>
        <c:ser>
          <c:idx val="0"/>
          <c:order val="0"/>
          <c:tx>
            <c:strRef>
              <c:f>'Chapter 7 - Assessment'!$D$122</c:f>
              <c:strCache>
                <c:ptCount val="1"/>
                <c:pt idx="0">
                  <c:v>WOM emissions from SOC change </c:v>
                </c:pt>
              </c:strCache>
            </c:strRef>
          </c:tx>
          <c:spPr>
            <a:solidFill>
              <a:srgbClr val="B0ABF4"/>
            </a:solidFill>
            <a:ln>
              <a:solidFill>
                <a:srgbClr val="B0ABF4"/>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B8DD-404A-B014-722B743F768E}"/>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'Chapter 7 - Assessment'!$F$118:$AT$118</c:f>
              <c:strCache>
                <c:ptCount val="41"/>
                <c:pt idx="0">
                  <c:v>t-20</c:v>
                </c:pt>
                <c:pt idx="1">
                  <c:v>t-19</c:v>
                </c:pt>
                <c:pt idx="2">
                  <c:v>t-18</c:v>
                </c:pt>
                <c:pt idx="3">
                  <c:v>t-17</c:v>
                </c:pt>
                <c:pt idx="4">
                  <c:v>t-16</c:v>
                </c:pt>
                <c:pt idx="5">
                  <c:v>t-15</c:v>
                </c:pt>
                <c:pt idx="6">
                  <c:v>t-14</c:v>
                </c:pt>
                <c:pt idx="7">
                  <c:v>t-13</c:v>
                </c:pt>
                <c:pt idx="8">
                  <c:v>t-12</c:v>
                </c:pt>
                <c:pt idx="9">
                  <c:v>t-11</c:v>
                </c:pt>
                <c:pt idx="10">
                  <c:v>t-10</c:v>
                </c:pt>
                <c:pt idx="11">
                  <c:v>t-9</c:v>
                </c:pt>
                <c:pt idx="12">
                  <c:v>t-8</c:v>
                </c:pt>
                <c:pt idx="13">
                  <c:v>t-7</c:v>
                </c:pt>
                <c:pt idx="14">
                  <c:v>t-6</c:v>
                </c:pt>
                <c:pt idx="15">
                  <c:v>t-5</c:v>
                </c:pt>
                <c:pt idx="16">
                  <c:v>t-4</c:v>
                </c:pt>
                <c:pt idx="17">
                  <c:v>t-3</c:v>
                </c:pt>
                <c:pt idx="18">
                  <c:v>t-2</c:v>
                </c:pt>
                <c:pt idx="19">
                  <c:v>t-1</c:v>
                </c:pt>
                <c:pt idx="20">
                  <c:v>t</c:v>
                </c:pt>
                <c:pt idx="21">
                  <c:v>t+1</c:v>
                </c:pt>
                <c:pt idx="22">
                  <c:v>t+2</c:v>
                </c:pt>
                <c:pt idx="23">
                  <c:v>t+3</c:v>
                </c:pt>
                <c:pt idx="24">
                  <c:v>t+4</c:v>
                </c:pt>
                <c:pt idx="25">
                  <c:v>t+5</c:v>
                </c:pt>
                <c:pt idx="26">
                  <c:v>t+6</c:v>
                </c:pt>
                <c:pt idx="27">
                  <c:v>t+7</c:v>
                </c:pt>
                <c:pt idx="28">
                  <c:v>t+8</c:v>
                </c:pt>
                <c:pt idx="29">
                  <c:v>t+9</c:v>
                </c:pt>
                <c:pt idx="30">
                  <c:v>t+10</c:v>
                </c:pt>
                <c:pt idx="31">
                  <c:v>t+11</c:v>
                </c:pt>
                <c:pt idx="32">
                  <c:v>t+12</c:v>
                </c:pt>
                <c:pt idx="33">
                  <c:v>t+13</c:v>
                </c:pt>
                <c:pt idx="34">
                  <c:v>t+14</c:v>
                </c:pt>
                <c:pt idx="35">
                  <c:v>t+15</c:v>
                </c:pt>
                <c:pt idx="36">
                  <c:v>t+16</c:v>
                </c:pt>
                <c:pt idx="37">
                  <c:v>t+17</c:v>
                </c:pt>
                <c:pt idx="38">
                  <c:v>t+18</c:v>
                </c:pt>
                <c:pt idx="39">
                  <c:v>t+19</c:v>
                </c:pt>
                <c:pt idx="40">
                  <c:v>t+20</c:v>
                </c:pt>
              </c:strCache>
            </c:strRef>
          </c:cat>
          <c:val>
            <c:numRef>
              <c:f>'Chapter 7 - Assessment'!$F$122:$AT$122</c:f>
              <c:numCache>
                <c:formatCode>#,##0.00</c:formatCode>
                <c:ptCount val="41"/>
                <c:pt idx="0">
                  <c:v>0</c:v>
                </c:pt>
                <c:pt idx="1">
                  <c:v>-0.12254265900801402</c:v>
                </c:pt>
                <c:pt idx="2">
                  <c:v>-0.24508531801602804</c:v>
                </c:pt>
                <c:pt idx="3">
                  <c:v>-0.3676279770240421</c:v>
                </c:pt>
                <c:pt idx="4">
                  <c:v>-0.4901706360319707</c:v>
                </c:pt>
                <c:pt idx="5">
                  <c:v>-0.61271329504002736</c:v>
                </c:pt>
                <c:pt idx="6">
                  <c:v>-0.73525595404799882</c:v>
                </c:pt>
                <c:pt idx="7">
                  <c:v>-0.85779861305592742</c:v>
                </c:pt>
                <c:pt idx="8">
                  <c:v>-0.98034127206398414</c:v>
                </c:pt>
                <c:pt idx="9">
                  <c:v>-1.102883931071998</c:v>
                </c:pt>
                <c:pt idx="10">
                  <c:v>-1.2254265900799266</c:v>
                </c:pt>
                <c:pt idx="11">
                  <c:v>-1.3479692490879407</c:v>
                </c:pt>
                <c:pt idx="12">
                  <c:v>-1.47051190809604</c:v>
                </c:pt>
                <c:pt idx="13">
                  <c:v>-1.5930545671040115</c:v>
                </c:pt>
                <c:pt idx="14">
                  <c:v>-1.7155972261120254</c:v>
                </c:pt>
                <c:pt idx="15">
                  <c:v>-1.8381398851200823</c:v>
                </c:pt>
                <c:pt idx="16">
                  <c:v>-1.9606825441280962</c:v>
                </c:pt>
                <c:pt idx="17">
                  <c:v>-2.0832252031360676</c:v>
                </c:pt>
                <c:pt idx="18">
                  <c:v>-2.2057678621440391</c:v>
                </c:pt>
                <c:pt idx="19">
                  <c:v>-2.3283105211520527</c:v>
                </c:pt>
                <c:pt idx="20">
                  <c:v>-2.4508531801600242</c:v>
                </c:pt>
                <c:pt idx="21">
                  <c:v>-2.4508531801599815</c:v>
                </c:pt>
                <c:pt idx="22">
                  <c:v>-2.4508531801600673</c:v>
                </c:pt>
                <c:pt idx="23">
                  <c:v>-2.4508531801600242</c:v>
                </c:pt>
                <c:pt idx="24">
                  <c:v>-2.4508531801600242</c:v>
                </c:pt>
                <c:pt idx="25">
                  <c:v>-2.4508531801600242</c:v>
                </c:pt>
                <c:pt idx="26">
                  <c:v>-2.4508531801599389</c:v>
                </c:pt>
                <c:pt idx="27">
                  <c:v>-2.4508531801600673</c:v>
                </c:pt>
                <c:pt idx="28">
                  <c:v>-2.4508531801600242</c:v>
                </c:pt>
                <c:pt idx="29">
                  <c:v>-2.4508531801600242</c:v>
                </c:pt>
                <c:pt idx="30">
                  <c:v>-2.4508531801600242</c:v>
                </c:pt>
                <c:pt idx="31">
                  <c:v>-2.4508531801600673</c:v>
                </c:pt>
                <c:pt idx="32">
                  <c:v>-2.4508531801600242</c:v>
                </c:pt>
                <c:pt idx="33">
                  <c:v>-2.4508531801600242</c:v>
                </c:pt>
                <c:pt idx="34">
                  <c:v>-2.4508531801599815</c:v>
                </c:pt>
                <c:pt idx="35">
                  <c:v>-2.4508531801598532</c:v>
                </c:pt>
                <c:pt idx="36">
                  <c:v>-2.4508531801598958</c:v>
                </c:pt>
                <c:pt idx="37">
                  <c:v>-2.4508531801599815</c:v>
                </c:pt>
                <c:pt idx="38">
                  <c:v>-2.4508531801599389</c:v>
                </c:pt>
                <c:pt idx="39">
                  <c:v>-2.4508531801599815</c:v>
                </c:pt>
                <c:pt idx="40">
                  <c:v>-2.4508531801599389</c:v>
                </c:pt>
              </c:numCache>
            </c:numRef>
          </c:val>
          <c:extLst>
            <c:ext xmlns:c16="http://schemas.microsoft.com/office/drawing/2014/chart" uri="{C3380CC4-5D6E-409C-BE32-E72D297353CC}">
              <c16:uniqueId val="{00000000-96E4-6D48-8E92-2BB46F37CA15}"/>
            </c:ext>
          </c:extLst>
        </c:ser>
        <c:dLbls>
          <c:dLblPos val="outEnd"/>
          <c:showLegendKey val="0"/>
          <c:showVal val="1"/>
          <c:showCatName val="0"/>
          <c:showSerName val="0"/>
          <c:showPercent val="0"/>
          <c:showBubbleSize val="0"/>
        </c:dLbls>
        <c:gapWidth val="150"/>
        <c:axId val="1268328592"/>
        <c:axId val="1268330672"/>
      </c:barChart>
      <c:catAx>
        <c:axId val="1268328592"/>
        <c:scaling>
          <c:orientation val="minMax"/>
        </c:scaling>
        <c:delete val="0"/>
        <c:axPos val="b"/>
        <c:title>
          <c:tx>
            <c:rich>
              <a:bodyPr rot="0" spcFirstLastPara="1" vertOverflow="ellipsis" vert="horz" wrap="square" anchor="ctr" anchorCtr="1"/>
              <a:lstStyle/>
              <a:p>
                <a:pPr algn="ct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Year</a:t>
                </a:r>
              </a:p>
            </c:rich>
          </c:tx>
          <c:layout>
            <c:manualLayout>
              <c:xMode val="edge"/>
              <c:yMode val="edge"/>
              <c:x val="0.48796586059743946"/>
              <c:y val="2.6388888888888889E-2"/>
            </c:manualLayout>
          </c:layout>
          <c:overlay val="0"/>
          <c:spPr>
            <a:noFill/>
            <a:ln>
              <a:noFill/>
            </a:ln>
            <a:effectLst/>
          </c:spPr>
          <c:txPr>
            <a:bodyPr rot="0" spcFirstLastPara="1" vertOverflow="ellipsis" vert="horz" wrap="square" anchor="ctr" anchorCtr="1"/>
            <a:lstStyle/>
            <a:p>
              <a:pPr algn="ct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68330672"/>
        <c:crosses val="autoZero"/>
        <c:auto val="1"/>
        <c:lblAlgn val="ctr"/>
        <c:lblOffset val="100"/>
        <c:noMultiLvlLbl val="0"/>
      </c:catAx>
      <c:valAx>
        <c:axId val="126833067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Emissions from SOC change, Gg CO</a:t>
                </a:r>
                <a:r>
                  <a:rPr lang="en-US" baseline="-25000"/>
                  <a:t>2</a:t>
                </a:r>
              </a:p>
            </c:rich>
          </c:tx>
          <c:layout>
            <c:manualLayout>
              <c:xMode val="edge"/>
              <c:yMode val="edge"/>
              <c:x val="7.6585163696643197E-3"/>
              <c:y val="0.2828289191123836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6350" cap="flat" cmpd="sng" algn="ctr">
            <a:solidFill>
              <a:schemeClr val="bg2"/>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crossAx val="1268328592"/>
        <c:crosses val="autoZero"/>
        <c:crossBetween val="between"/>
        <c:majorUnit val="1"/>
      </c:valAx>
      <c:spPr>
        <a:noFill/>
        <a:ln>
          <a:noFill/>
        </a:ln>
        <a:effectLst/>
      </c:spPr>
    </c:plotArea>
    <c:legend>
      <c:legendPos val="t"/>
      <c:layout>
        <c:manualLayout>
          <c:xMode val="edge"/>
          <c:yMode val="edge"/>
          <c:x val="4.865589169774831E-2"/>
          <c:y val="0.94444455049179454"/>
          <c:w val="0.21611131353051713"/>
          <c:h val="4.430424321959754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hyperlink" Target="#'Rice Data'!A1"/><Relationship Id="rId4"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hapter 8 - Assessment'!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hyperlink" Target="#'Manure Data'!A1"/><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hyperlink" Target="#'Enteric Fermentation Data'!A1"/><Relationship Id="rId5" Type="http://schemas.openxmlformats.org/officeDocument/2006/relationships/chart" Target="../charts/chart4.xml"/><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hyperlink" Target="#'Chapter 5 - Assessment'!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Chapter 5 - Assessment'!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hyperlink" Target="#'Nutrient Data'!A1"/><Relationship Id="rId4"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hapter 6 - Assessment'!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hyperlink" Target="#'Soil Data'!A1"/></Relationships>
</file>

<file path=xl/drawings/_rels/drawing9.xml.rels><?xml version="1.0" encoding="UTF-8" standalone="yes"?>
<Relationships xmlns="http://schemas.openxmlformats.org/package/2006/relationships"><Relationship Id="rId2" Type="http://schemas.openxmlformats.org/officeDocument/2006/relationships/hyperlink" Target="#'Chapter 7 - Assessment'!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16</xdr:row>
      <xdr:rowOff>0</xdr:rowOff>
    </xdr:from>
    <xdr:to>
      <xdr:col>3</xdr:col>
      <xdr:colOff>304800</xdr:colOff>
      <xdr:row>17</xdr:row>
      <xdr:rowOff>104774</xdr:rowOff>
    </xdr:to>
    <xdr:sp macro="" textlink="">
      <xdr:nvSpPr>
        <xdr:cNvPr id="16385" name="AutoShape 1" descr="logo text">
          <a:extLst>
            <a:ext uri="{FF2B5EF4-FFF2-40B4-BE49-F238E27FC236}">
              <a16:creationId xmlns:a16="http://schemas.microsoft.com/office/drawing/2014/main" id="{E2B607A6-7432-CF5D-1735-44AAE0CC0FDE}"/>
            </a:ext>
          </a:extLst>
        </xdr:cNvPr>
        <xdr:cNvSpPr>
          <a:spLocks noChangeAspect="1" noChangeArrowheads="1"/>
        </xdr:cNvSpPr>
      </xdr:nvSpPr>
      <xdr:spPr bwMode="auto">
        <a:xfrm>
          <a:off x="4781550" y="480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280295</xdr:colOff>
      <xdr:row>0</xdr:row>
      <xdr:rowOff>25518</xdr:rowOff>
    </xdr:from>
    <xdr:to>
      <xdr:col>1</xdr:col>
      <xdr:colOff>1540224</xdr:colOff>
      <xdr:row>0</xdr:row>
      <xdr:rowOff>787519</xdr:rowOff>
    </xdr:to>
    <xdr:pic>
      <xdr:nvPicPr>
        <xdr:cNvPr id="3" name="Picture 2">
          <a:extLst>
            <a:ext uri="{FF2B5EF4-FFF2-40B4-BE49-F238E27FC236}">
              <a16:creationId xmlns:a16="http://schemas.microsoft.com/office/drawing/2014/main" id="{21EA6A46-2641-ABF1-CC70-1EEAB04A0B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417" t="15617" r="12205" b="18626"/>
        <a:stretch/>
      </xdr:blipFill>
      <xdr:spPr>
        <a:xfrm>
          <a:off x="280295" y="25518"/>
          <a:ext cx="1838756" cy="7620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557892</xdr:colOff>
      <xdr:row>122</xdr:row>
      <xdr:rowOff>122465</xdr:rowOff>
    </xdr:from>
    <xdr:to>
      <xdr:col>5</xdr:col>
      <xdr:colOff>1578428</xdr:colOff>
      <xdr:row>146</xdr:row>
      <xdr:rowOff>74840</xdr:rowOff>
    </xdr:to>
    <xdr:graphicFrame macro="">
      <xdr:nvGraphicFramePr>
        <xdr:cNvPr id="4" name="Chart 3">
          <a:extLst>
            <a:ext uri="{FF2B5EF4-FFF2-40B4-BE49-F238E27FC236}">
              <a16:creationId xmlns:a16="http://schemas.microsoft.com/office/drawing/2014/main" id="{08570C0D-22EF-4F52-8A20-D039ED2CA3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552450</xdr:colOff>
      <xdr:row>153</xdr:row>
      <xdr:rowOff>6163</xdr:rowOff>
    </xdr:from>
    <xdr:to>
      <xdr:col>6</xdr:col>
      <xdr:colOff>1360</xdr:colOff>
      <xdr:row>177</xdr:row>
      <xdr:rowOff>6163</xdr:rowOff>
    </xdr:to>
    <xdr:graphicFrame macro="">
      <xdr:nvGraphicFramePr>
        <xdr:cNvPr id="5" name="Chart 4">
          <a:extLst>
            <a:ext uri="{FF2B5EF4-FFF2-40B4-BE49-F238E27FC236}">
              <a16:creationId xmlns:a16="http://schemas.microsoft.com/office/drawing/2014/main" id="{794E8211-84B7-4759-B41B-06C7EBCA1B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353082</xdr:colOff>
      <xdr:row>0</xdr:row>
      <xdr:rowOff>383336</xdr:rowOff>
    </xdr:to>
    <xdr:pic>
      <xdr:nvPicPr>
        <xdr:cNvPr id="2" name="Picture 1">
          <a:extLst>
            <a:ext uri="{FF2B5EF4-FFF2-40B4-BE49-F238E27FC236}">
              <a16:creationId xmlns:a16="http://schemas.microsoft.com/office/drawing/2014/main" id="{05EA9DAD-351B-494D-8CB9-CAA95942EF4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1417" t="15617" r="12205" b="18626"/>
        <a:stretch/>
      </xdr:blipFill>
      <xdr:spPr>
        <a:xfrm>
          <a:off x="0" y="0"/>
          <a:ext cx="932865" cy="383336"/>
        </a:xfrm>
        <a:prstGeom prst="rect">
          <a:avLst/>
        </a:prstGeom>
      </xdr:spPr>
    </xdr:pic>
    <xdr:clientData/>
  </xdr:twoCellAnchor>
  <xdr:twoCellAnchor>
    <xdr:from>
      <xdr:col>6</xdr:col>
      <xdr:colOff>119746</xdr:colOff>
      <xdr:row>11</xdr:row>
      <xdr:rowOff>13607</xdr:rowOff>
    </xdr:from>
    <xdr:to>
      <xdr:col>10</xdr:col>
      <xdr:colOff>977900</xdr:colOff>
      <xdr:row>22</xdr:row>
      <xdr:rowOff>185057</xdr:rowOff>
    </xdr:to>
    <xdr:graphicFrame macro="">
      <xdr:nvGraphicFramePr>
        <xdr:cNvPr id="3" name="Chart 2">
          <a:extLst>
            <a:ext uri="{FF2B5EF4-FFF2-40B4-BE49-F238E27FC236}">
              <a16:creationId xmlns:a16="http://schemas.microsoft.com/office/drawing/2014/main" id="{182EF27C-A50E-4B8C-9C34-6AC77464BA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95250</xdr:colOff>
      <xdr:row>28</xdr:row>
      <xdr:rowOff>4083</xdr:rowOff>
    </xdr:from>
    <xdr:to>
      <xdr:col>5</xdr:col>
      <xdr:colOff>598715</xdr:colOff>
      <xdr:row>30</xdr:row>
      <xdr:rowOff>95250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85DD9DEB-F0D7-4F13-8BA9-ED8F1391FBFC}"/>
            </a:ext>
          </a:extLst>
        </xdr:cNvPr>
        <xdr:cNvSpPr/>
      </xdr:nvSpPr>
      <xdr:spPr>
        <a:xfrm>
          <a:off x="8058150" y="6623958"/>
          <a:ext cx="2094140" cy="529317"/>
        </a:xfrm>
        <a:prstGeom prst="rect">
          <a:avLst/>
        </a:prstGeom>
        <a:solidFill>
          <a:srgbClr val="B0ABF4"/>
        </a:solidFill>
        <a:ln>
          <a:noFill/>
        </a:ln>
        <a:scene3d>
          <a:camera prst="orthographicFront"/>
          <a:lightRig rig="threePt" dir="t"/>
        </a:scene3d>
        <a:sp3d>
          <a:bevelT w="635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a:solidFill>
                <a:schemeClr val="tx2">
                  <a:lumMod val="50000"/>
                </a:schemeClr>
              </a:solidFill>
            </a:rPr>
            <a:t>View Rice</a:t>
          </a:r>
          <a:r>
            <a:rPr lang="en-US" sz="1100" b="1" baseline="0">
              <a:solidFill>
                <a:schemeClr val="tx2">
                  <a:lumMod val="50000"/>
                </a:schemeClr>
              </a:solidFill>
            </a:rPr>
            <a:t> </a:t>
          </a:r>
          <a:r>
            <a:rPr lang="en-US" sz="1100" b="1">
              <a:solidFill>
                <a:schemeClr val="tx2">
                  <a:lumMod val="50000"/>
                </a:schemeClr>
              </a:solidFill>
              <a:latin typeface="+mn-lt"/>
              <a:ea typeface="+mn-ea"/>
              <a:cs typeface="+mn-cs"/>
            </a:rPr>
            <a:t>Data Parameters for GHG Calculations</a:t>
          </a:r>
        </a:p>
        <a:p>
          <a:pPr algn="ctr"/>
          <a:endParaRPr lang="en-US" sz="1100" b="1">
            <a:solidFill>
              <a:schemeClr val="tx2">
                <a:lumMod val="50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495300</xdr:colOff>
      <xdr:row>0</xdr:row>
      <xdr:rowOff>57150</xdr:rowOff>
    </xdr:from>
    <xdr:to>
      <xdr:col>4</xdr:col>
      <xdr:colOff>2238375</xdr:colOff>
      <xdr:row>0</xdr:row>
      <xdr:rowOff>381000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E8EFC29-DD0A-4BE7-B2CC-1ADE0A3CAA5A}"/>
            </a:ext>
          </a:extLst>
        </xdr:cNvPr>
        <xdr:cNvSpPr/>
      </xdr:nvSpPr>
      <xdr:spPr>
        <a:xfrm>
          <a:off x="9058275" y="57150"/>
          <a:ext cx="1743075" cy="323850"/>
        </a:xfrm>
        <a:prstGeom prst="rect">
          <a:avLst/>
        </a:prstGeom>
        <a:solidFill>
          <a:srgbClr val="FFD7B4"/>
        </a:solidFill>
        <a:ln>
          <a:noFill/>
        </a:ln>
        <a:scene3d>
          <a:camera prst="orthographicFront"/>
          <a:lightRig rig="threePt" dir="t"/>
        </a:scene3d>
        <a:sp3d>
          <a:bevelT w="635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2">
                  <a:lumMod val="50000"/>
                </a:schemeClr>
              </a:solidFill>
            </a:rPr>
            <a:t>Return</a:t>
          </a:r>
          <a:r>
            <a:rPr lang="en-US" sz="1100" b="1" baseline="0">
              <a:solidFill>
                <a:schemeClr val="tx2">
                  <a:lumMod val="50000"/>
                </a:schemeClr>
              </a:solidFill>
            </a:rPr>
            <a:t> to Assessment</a:t>
          </a:r>
          <a:endParaRPr lang="en-US" sz="1100" b="1">
            <a:solidFill>
              <a:schemeClr val="tx2">
                <a:lumMod val="50000"/>
              </a:schemeClr>
            </a:solidFill>
          </a:endParaRPr>
        </a:p>
      </xdr:txBody>
    </xdr:sp>
    <xdr:clientData/>
  </xdr:twoCellAnchor>
  <xdr:twoCellAnchor editAs="oneCell">
    <xdr:from>
      <xdr:col>0</xdr:col>
      <xdr:colOff>0</xdr:colOff>
      <xdr:row>0</xdr:row>
      <xdr:rowOff>57150</xdr:rowOff>
    </xdr:from>
    <xdr:to>
      <xdr:col>1</xdr:col>
      <xdr:colOff>351840</xdr:colOff>
      <xdr:row>1</xdr:row>
      <xdr:rowOff>2336</xdr:rowOff>
    </xdr:to>
    <xdr:pic>
      <xdr:nvPicPr>
        <xdr:cNvPr id="3" name="Picture 2">
          <a:extLst>
            <a:ext uri="{FF2B5EF4-FFF2-40B4-BE49-F238E27FC236}">
              <a16:creationId xmlns:a16="http://schemas.microsoft.com/office/drawing/2014/main" id="{0D2C6B75-745C-4E24-A22B-D547F8A91C0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417" t="15617" r="12205" b="18626"/>
        <a:stretch/>
      </xdr:blipFill>
      <xdr:spPr>
        <a:xfrm>
          <a:off x="0" y="57150"/>
          <a:ext cx="932865" cy="3833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353082</xdr:colOff>
      <xdr:row>0</xdr:row>
      <xdr:rowOff>386381</xdr:rowOff>
    </xdr:to>
    <xdr:pic>
      <xdr:nvPicPr>
        <xdr:cNvPr id="2" name="Picture 1">
          <a:extLst>
            <a:ext uri="{FF2B5EF4-FFF2-40B4-BE49-F238E27FC236}">
              <a16:creationId xmlns:a16="http://schemas.microsoft.com/office/drawing/2014/main" id="{81E42B4F-8799-45A7-B9EC-99EAB5B5252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417" t="15617" r="12205" b="18626"/>
        <a:stretch/>
      </xdr:blipFill>
      <xdr:spPr>
        <a:xfrm>
          <a:off x="0" y="0"/>
          <a:ext cx="932793" cy="386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351840</xdr:colOff>
      <xdr:row>0</xdr:row>
      <xdr:rowOff>421436</xdr:rowOff>
    </xdr:to>
    <xdr:pic>
      <xdr:nvPicPr>
        <xdr:cNvPr id="6" name="Picture 5">
          <a:extLst>
            <a:ext uri="{FF2B5EF4-FFF2-40B4-BE49-F238E27FC236}">
              <a16:creationId xmlns:a16="http://schemas.microsoft.com/office/drawing/2014/main" id="{8B493B78-9B4E-454B-91B0-D6DEC274483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417" t="15617" r="12205" b="18626"/>
        <a:stretch/>
      </xdr:blipFill>
      <xdr:spPr>
        <a:xfrm>
          <a:off x="0" y="38100"/>
          <a:ext cx="932865" cy="383336"/>
        </a:xfrm>
        <a:prstGeom prst="rect">
          <a:avLst/>
        </a:prstGeom>
      </xdr:spPr>
    </xdr:pic>
    <xdr:clientData/>
  </xdr:twoCellAnchor>
  <xdr:twoCellAnchor>
    <xdr:from>
      <xdr:col>6</xdr:col>
      <xdr:colOff>118662</xdr:colOff>
      <xdr:row>11</xdr:row>
      <xdr:rowOff>0</xdr:rowOff>
    </xdr:from>
    <xdr:to>
      <xdr:col>11</xdr:col>
      <xdr:colOff>317500</xdr:colOff>
      <xdr:row>25</xdr:row>
      <xdr:rowOff>196906</xdr:rowOff>
    </xdr:to>
    <xdr:graphicFrame macro="">
      <xdr:nvGraphicFramePr>
        <xdr:cNvPr id="8" name="Chart 7">
          <a:extLst>
            <a:ext uri="{FF2B5EF4-FFF2-40B4-BE49-F238E27FC236}">
              <a16:creationId xmlns:a16="http://schemas.microsoft.com/office/drawing/2014/main" id="{0AFDE0CE-1711-4A9E-9BDC-2820A8E1B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407</xdr:colOff>
      <xdr:row>156</xdr:row>
      <xdr:rowOff>9525</xdr:rowOff>
    </xdr:from>
    <xdr:to>
      <xdr:col>6</xdr:col>
      <xdr:colOff>28574</xdr:colOff>
      <xdr:row>178</xdr:row>
      <xdr:rowOff>196921</xdr:rowOff>
    </xdr:to>
    <xdr:graphicFrame macro="">
      <xdr:nvGraphicFramePr>
        <xdr:cNvPr id="10" name="Chart 9">
          <a:extLst>
            <a:ext uri="{FF2B5EF4-FFF2-40B4-BE49-F238E27FC236}">
              <a16:creationId xmlns:a16="http://schemas.microsoft.com/office/drawing/2014/main" id="{5C9FF2D5-19DD-43C6-9791-05B708325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572213</xdr:colOff>
      <xdr:row>184</xdr:row>
      <xdr:rowOff>185455</xdr:rowOff>
    </xdr:from>
    <xdr:to>
      <xdr:col>6</xdr:col>
      <xdr:colOff>38100</xdr:colOff>
      <xdr:row>208</xdr:row>
      <xdr:rowOff>190499</xdr:rowOff>
    </xdr:to>
    <xdr:graphicFrame macro="">
      <xdr:nvGraphicFramePr>
        <xdr:cNvPr id="11" name="Chart 10">
          <a:extLst>
            <a:ext uri="{FF2B5EF4-FFF2-40B4-BE49-F238E27FC236}">
              <a16:creationId xmlns:a16="http://schemas.microsoft.com/office/drawing/2014/main" id="{23611111-39CF-4224-AEF1-6DED97563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561974</xdr:colOff>
      <xdr:row>216</xdr:row>
      <xdr:rowOff>12889</xdr:rowOff>
    </xdr:from>
    <xdr:to>
      <xdr:col>6</xdr:col>
      <xdr:colOff>9523</xdr:colOff>
      <xdr:row>239</xdr:row>
      <xdr:rowOff>161925</xdr:rowOff>
    </xdr:to>
    <xdr:graphicFrame macro="">
      <xdr:nvGraphicFramePr>
        <xdr:cNvPr id="12" name="Chart 11">
          <a:extLst>
            <a:ext uri="{FF2B5EF4-FFF2-40B4-BE49-F238E27FC236}">
              <a16:creationId xmlns:a16="http://schemas.microsoft.com/office/drawing/2014/main" id="{391424FF-3AE0-4DCE-A78E-99EFE4DFAD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66674</xdr:colOff>
      <xdr:row>39</xdr:row>
      <xdr:rowOff>200025</xdr:rowOff>
    </xdr:from>
    <xdr:to>
      <xdr:col>5</xdr:col>
      <xdr:colOff>933450</xdr:colOff>
      <xdr:row>41</xdr:row>
      <xdr:rowOff>371476</xdr:rowOff>
    </xdr:to>
    <xdr:sp macro="" textlink="">
      <xdr:nvSpPr>
        <xdr:cNvPr id="4" name="Rectangle 3">
          <a:hlinkClick xmlns:r="http://schemas.openxmlformats.org/officeDocument/2006/relationships" r:id="rId6"/>
          <a:extLst>
            <a:ext uri="{FF2B5EF4-FFF2-40B4-BE49-F238E27FC236}">
              <a16:creationId xmlns:a16="http://schemas.microsoft.com/office/drawing/2014/main" id="{93874AEB-2D5C-4E3D-B30C-4CBF523A9D95}"/>
            </a:ext>
          </a:extLst>
        </xdr:cNvPr>
        <xdr:cNvSpPr/>
      </xdr:nvSpPr>
      <xdr:spPr>
        <a:xfrm>
          <a:off x="8543924" y="10687050"/>
          <a:ext cx="2095501" cy="581026"/>
        </a:xfrm>
        <a:prstGeom prst="rect">
          <a:avLst/>
        </a:prstGeom>
        <a:solidFill>
          <a:srgbClr val="B0ABF4"/>
        </a:solidFill>
        <a:ln>
          <a:noFill/>
        </a:ln>
        <a:scene3d>
          <a:camera prst="orthographicFront"/>
          <a:lightRig rig="threePt" dir="t"/>
        </a:scene3d>
        <a:sp3d>
          <a:bevelT w="635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2">
                  <a:lumMod val="50000"/>
                </a:schemeClr>
              </a:solidFill>
            </a:rPr>
            <a:t>View Enteric</a:t>
          </a:r>
          <a:r>
            <a:rPr lang="en-US" sz="1100" b="1" baseline="0">
              <a:solidFill>
                <a:schemeClr val="tx2">
                  <a:lumMod val="50000"/>
                </a:schemeClr>
              </a:solidFill>
            </a:rPr>
            <a:t> Fermentation </a:t>
          </a:r>
          <a:r>
            <a:rPr lang="en-US" sz="1100" b="1" baseline="0">
              <a:solidFill>
                <a:schemeClr val="tx2">
                  <a:lumMod val="50000"/>
                </a:schemeClr>
              </a:solidFill>
              <a:latin typeface="+mn-lt"/>
              <a:ea typeface="+mn-ea"/>
              <a:cs typeface="+mn-cs"/>
            </a:rPr>
            <a:t>Data Parameters for GHG Calculations</a:t>
          </a:r>
        </a:p>
      </xdr:txBody>
    </xdr:sp>
    <xdr:clientData/>
  </xdr:twoCellAnchor>
  <xdr:twoCellAnchor>
    <xdr:from>
      <xdr:col>4</xdr:col>
      <xdr:colOff>66674</xdr:colOff>
      <xdr:row>29</xdr:row>
      <xdr:rowOff>342900</xdr:rowOff>
    </xdr:from>
    <xdr:to>
      <xdr:col>5</xdr:col>
      <xdr:colOff>933450</xdr:colOff>
      <xdr:row>32</xdr:row>
      <xdr:rowOff>9525</xdr:rowOff>
    </xdr:to>
    <xdr:sp macro="" textlink="">
      <xdr:nvSpPr>
        <xdr:cNvPr id="5" name="Rectangle 4">
          <a:hlinkClick xmlns:r="http://schemas.openxmlformats.org/officeDocument/2006/relationships" r:id="rId7"/>
          <a:extLst>
            <a:ext uri="{FF2B5EF4-FFF2-40B4-BE49-F238E27FC236}">
              <a16:creationId xmlns:a16="http://schemas.microsoft.com/office/drawing/2014/main" id="{00C5AB70-3062-434C-978B-1F7DEC431F3C}"/>
            </a:ext>
          </a:extLst>
        </xdr:cNvPr>
        <xdr:cNvSpPr/>
      </xdr:nvSpPr>
      <xdr:spPr>
        <a:xfrm>
          <a:off x="7781924" y="7439025"/>
          <a:ext cx="2095501" cy="600075"/>
        </a:xfrm>
        <a:prstGeom prst="rect">
          <a:avLst/>
        </a:prstGeom>
        <a:solidFill>
          <a:srgbClr val="B0ABF4"/>
        </a:solidFill>
        <a:ln>
          <a:noFill/>
        </a:ln>
        <a:scene3d>
          <a:camera prst="orthographicFront"/>
          <a:lightRig rig="threePt" dir="t"/>
        </a:scene3d>
        <a:sp3d>
          <a:bevelT w="635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2">
                  <a:lumMod val="50000"/>
                </a:schemeClr>
              </a:solidFill>
            </a:rPr>
            <a:t>View Manure</a:t>
          </a:r>
          <a:r>
            <a:rPr lang="en-US" sz="1100" b="1" baseline="0">
              <a:solidFill>
                <a:schemeClr val="tx2">
                  <a:lumMod val="50000"/>
                </a:schemeClr>
              </a:solidFill>
            </a:rPr>
            <a:t> Data Parameters for GHG Calculations</a:t>
          </a:r>
          <a:endParaRPr lang="en-US" sz="1100" b="1">
            <a:solidFill>
              <a:schemeClr val="tx2">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351840</xdr:colOff>
      <xdr:row>0</xdr:row>
      <xdr:rowOff>411911</xdr:rowOff>
    </xdr:to>
    <xdr:pic>
      <xdr:nvPicPr>
        <xdr:cNvPr id="2" name="Picture 1">
          <a:extLst>
            <a:ext uri="{FF2B5EF4-FFF2-40B4-BE49-F238E27FC236}">
              <a16:creationId xmlns:a16="http://schemas.microsoft.com/office/drawing/2014/main" id="{F36676CF-03A8-473A-8365-9668ABF3BE6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417" t="15617" r="12205" b="18626"/>
        <a:stretch/>
      </xdr:blipFill>
      <xdr:spPr>
        <a:xfrm>
          <a:off x="0" y="28575"/>
          <a:ext cx="932865" cy="383336"/>
        </a:xfrm>
        <a:prstGeom prst="rect">
          <a:avLst/>
        </a:prstGeom>
      </xdr:spPr>
    </xdr:pic>
    <xdr:clientData/>
  </xdr:twoCellAnchor>
  <xdr:twoCellAnchor>
    <xdr:from>
      <xdr:col>3</xdr:col>
      <xdr:colOff>1200150</xdr:colOff>
      <xdr:row>0</xdr:row>
      <xdr:rowOff>66675</xdr:rowOff>
    </xdr:from>
    <xdr:to>
      <xdr:col>4</xdr:col>
      <xdr:colOff>9525</xdr:colOff>
      <xdr:row>0</xdr:row>
      <xdr:rowOff>390525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E4386CE1-C574-4B95-9D00-18A47A1F9C30}"/>
            </a:ext>
          </a:extLst>
        </xdr:cNvPr>
        <xdr:cNvSpPr/>
      </xdr:nvSpPr>
      <xdr:spPr>
        <a:xfrm>
          <a:off x="8001000" y="66675"/>
          <a:ext cx="1743075" cy="323850"/>
        </a:xfrm>
        <a:prstGeom prst="rect">
          <a:avLst/>
        </a:prstGeom>
        <a:solidFill>
          <a:srgbClr val="FFD7B4"/>
        </a:solidFill>
        <a:ln>
          <a:noFill/>
        </a:ln>
        <a:scene3d>
          <a:camera prst="orthographicFront"/>
          <a:lightRig rig="threePt" dir="t"/>
        </a:scene3d>
        <a:sp3d>
          <a:bevelT w="635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2">
                  <a:lumMod val="50000"/>
                </a:schemeClr>
              </a:solidFill>
            </a:rPr>
            <a:t>Return</a:t>
          </a:r>
          <a:r>
            <a:rPr lang="en-US" sz="1100" b="1" baseline="0">
              <a:solidFill>
                <a:schemeClr val="tx2">
                  <a:lumMod val="50000"/>
                </a:schemeClr>
              </a:solidFill>
            </a:rPr>
            <a:t> to Assessment</a:t>
          </a:r>
          <a:endParaRPr lang="en-US" sz="1100" b="1">
            <a:solidFill>
              <a:schemeClr val="tx2">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1</xdr:col>
      <xdr:colOff>370890</xdr:colOff>
      <xdr:row>0</xdr:row>
      <xdr:rowOff>421436</xdr:rowOff>
    </xdr:to>
    <xdr:pic>
      <xdr:nvPicPr>
        <xdr:cNvPr id="3" name="Picture 2">
          <a:extLst>
            <a:ext uri="{FF2B5EF4-FFF2-40B4-BE49-F238E27FC236}">
              <a16:creationId xmlns:a16="http://schemas.microsoft.com/office/drawing/2014/main" id="{25956F99-6674-48CC-845A-F45A990F803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417" t="15617" r="12205" b="18626"/>
        <a:stretch/>
      </xdr:blipFill>
      <xdr:spPr>
        <a:xfrm>
          <a:off x="19050" y="38100"/>
          <a:ext cx="932865" cy="383336"/>
        </a:xfrm>
        <a:prstGeom prst="rect">
          <a:avLst/>
        </a:prstGeom>
      </xdr:spPr>
    </xdr:pic>
    <xdr:clientData/>
  </xdr:twoCellAnchor>
  <xdr:twoCellAnchor>
    <xdr:from>
      <xdr:col>3</xdr:col>
      <xdr:colOff>1047750</xdr:colOff>
      <xdr:row>0</xdr:row>
      <xdr:rowOff>57150</xdr:rowOff>
    </xdr:from>
    <xdr:to>
      <xdr:col>3</xdr:col>
      <xdr:colOff>2790825</xdr:colOff>
      <xdr:row>0</xdr:row>
      <xdr:rowOff>381000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8BD3E7AC-F9D2-4B5E-AB17-8B4DA0FB1A99}"/>
            </a:ext>
          </a:extLst>
        </xdr:cNvPr>
        <xdr:cNvSpPr/>
      </xdr:nvSpPr>
      <xdr:spPr>
        <a:xfrm>
          <a:off x="7620000" y="57150"/>
          <a:ext cx="1743075" cy="323850"/>
        </a:xfrm>
        <a:prstGeom prst="rect">
          <a:avLst/>
        </a:prstGeom>
        <a:solidFill>
          <a:srgbClr val="FFD7B4"/>
        </a:solidFill>
        <a:ln>
          <a:noFill/>
        </a:ln>
        <a:scene3d>
          <a:camera prst="orthographicFront"/>
          <a:lightRig rig="threePt" dir="t"/>
        </a:scene3d>
        <a:sp3d>
          <a:bevelT w="635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2">
                  <a:lumMod val="50000"/>
                </a:schemeClr>
              </a:solidFill>
            </a:rPr>
            <a:t>Return</a:t>
          </a:r>
          <a:r>
            <a:rPr lang="en-US" sz="1100" b="1" baseline="0">
              <a:solidFill>
                <a:schemeClr val="tx2">
                  <a:lumMod val="50000"/>
                </a:schemeClr>
              </a:solidFill>
            </a:rPr>
            <a:t> to Assessment</a:t>
          </a:r>
          <a:endParaRPr lang="en-US" sz="1100" b="1">
            <a:solidFill>
              <a:schemeClr val="tx2">
                <a:lumMod val="50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571501</xdr:colOff>
      <xdr:row>174</xdr:row>
      <xdr:rowOff>8380</xdr:rowOff>
    </xdr:from>
    <xdr:to>
      <xdr:col>6</xdr:col>
      <xdr:colOff>1</xdr:colOff>
      <xdr:row>197</xdr:row>
      <xdr:rowOff>187674</xdr:rowOff>
    </xdr:to>
    <xdr:graphicFrame macro="">
      <xdr:nvGraphicFramePr>
        <xdr:cNvPr id="3" name="Chart 2">
          <a:extLst>
            <a:ext uri="{FF2B5EF4-FFF2-40B4-BE49-F238E27FC236}">
              <a16:creationId xmlns:a16="http://schemas.microsoft.com/office/drawing/2014/main" id="{A7D8388B-D0C2-4C95-AE37-8A93D1F375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11206</xdr:colOff>
      <xdr:row>146</xdr:row>
      <xdr:rowOff>1</xdr:rowOff>
    </xdr:from>
    <xdr:to>
      <xdr:col>5</xdr:col>
      <xdr:colOff>1748119</xdr:colOff>
      <xdr:row>170</xdr:row>
      <xdr:rowOff>1</xdr:rowOff>
    </xdr:to>
    <xdr:graphicFrame macro="">
      <xdr:nvGraphicFramePr>
        <xdr:cNvPr id="4" name="Chart 3">
          <a:extLst>
            <a:ext uri="{FF2B5EF4-FFF2-40B4-BE49-F238E27FC236}">
              <a16:creationId xmlns:a16="http://schemas.microsoft.com/office/drawing/2014/main" id="{69026E3D-5E79-4CC1-8D5D-F9E110C89D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323849</xdr:colOff>
      <xdr:row>7</xdr:row>
      <xdr:rowOff>76199</xdr:rowOff>
    </xdr:from>
    <xdr:to>
      <xdr:col>10</xdr:col>
      <xdr:colOff>858610</xdr:colOff>
      <xdr:row>19</xdr:row>
      <xdr:rowOff>122465</xdr:rowOff>
    </xdr:to>
    <xdr:graphicFrame macro="">
      <xdr:nvGraphicFramePr>
        <xdr:cNvPr id="5" name="Chart 4">
          <a:extLst>
            <a:ext uri="{FF2B5EF4-FFF2-40B4-BE49-F238E27FC236}">
              <a16:creationId xmlns:a16="http://schemas.microsoft.com/office/drawing/2014/main" id="{F60C5C95-F0F4-4958-BEDD-1A79073CB6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xdr:col>
      <xdr:colOff>351840</xdr:colOff>
      <xdr:row>0</xdr:row>
      <xdr:rowOff>383336</xdr:rowOff>
    </xdr:to>
    <xdr:pic>
      <xdr:nvPicPr>
        <xdr:cNvPr id="6" name="Picture 5">
          <a:extLst>
            <a:ext uri="{FF2B5EF4-FFF2-40B4-BE49-F238E27FC236}">
              <a16:creationId xmlns:a16="http://schemas.microsoft.com/office/drawing/2014/main" id="{4C52012E-691E-4029-94C5-D0B6EB9758FF}"/>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1417" t="15617" r="12205" b="18626"/>
        <a:stretch/>
      </xdr:blipFill>
      <xdr:spPr>
        <a:xfrm>
          <a:off x="0" y="0"/>
          <a:ext cx="932865" cy="383336"/>
        </a:xfrm>
        <a:prstGeom prst="rect">
          <a:avLst/>
        </a:prstGeom>
      </xdr:spPr>
    </xdr:pic>
    <xdr:clientData/>
  </xdr:twoCellAnchor>
  <xdr:twoCellAnchor>
    <xdr:from>
      <xdr:col>6</xdr:col>
      <xdr:colOff>112055</xdr:colOff>
      <xdr:row>23</xdr:row>
      <xdr:rowOff>0</xdr:rowOff>
    </xdr:from>
    <xdr:to>
      <xdr:col>7</xdr:col>
      <xdr:colOff>616880</xdr:colOff>
      <xdr:row>25</xdr:row>
      <xdr:rowOff>100852</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0D3A5CEB-3313-4637-9AB2-42428F6624D1}"/>
            </a:ext>
          </a:extLst>
        </xdr:cNvPr>
        <xdr:cNvSpPr/>
      </xdr:nvSpPr>
      <xdr:spPr>
        <a:xfrm>
          <a:off x="10354231" y="5647765"/>
          <a:ext cx="2096061" cy="593911"/>
        </a:xfrm>
        <a:prstGeom prst="rect">
          <a:avLst/>
        </a:prstGeom>
        <a:solidFill>
          <a:srgbClr val="B0ABF4"/>
        </a:solidFill>
        <a:ln>
          <a:noFill/>
        </a:ln>
        <a:scene3d>
          <a:camera prst="orthographicFront"/>
          <a:lightRig rig="threePt" dir="t"/>
        </a:scene3d>
        <a:sp3d>
          <a:bevelT w="635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2">
                  <a:lumMod val="50000"/>
                </a:schemeClr>
              </a:solidFill>
            </a:rPr>
            <a:t>View Nutrient</a:t>
          </a:r>
          <a:r>
            <a:rPr lang="en-US" sz="1100" b="1" baseline="0">
              <a:solidFill>
                <a:schemeClr val="tx2">
                  <a:lumMod val="50000"/>
                </a:schemeClr>
              </a:solidFill>
            </a:rPr>
            <a:t> </a:t>
          </a:r>
          <a:r>
            <a:rPr lang="en-US" sz="1100" b="1">
              <a:solidFill>
                <a:schemeClr val="tx2">
                  <a:lumMod val="50000"/>
                </a:schemeClr>
              </a:solidFill>
              <a:latin typeface="+mn-lt"/>
              <a:ea typeface="+mn-ea"/>
              <a:cs typeface="+mn-cs"/>
            </a:rPr>
            <a:t>Data Parameters for GHG Calculations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351840</xdr:colOff>
      <xdr:row>0</xdr:row>
      <xdr:rowOff>383336</xdr:rowOff>
    </xdr:to>
    <xdr:pic>
      <xdr:nvPicPr>
        <xdr:cNvPr id="2" name="Picture 1">
          <a:extLst>
            <a:ext uri="{FF2B5EF4-FFF2-40B4-BE49-F238E27FC236}">
              <a16:creationId xmlns:a16="http://schemas.microsoft.com/office/drawing/2014/main" id="{DE0EE6E8-F61A-4B2C-9CDC-717BA27D9DC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417" t="15617" r="12205" b="18626"/>
        <a:stretch/>
      </xdr:blipFill>
      <xdr:spPr>
        <a:xfrm>
          <a:off x="0" y="0"/>
          <a:ext cx="932865" cy="383336"/>
        </a:xfrm>
        <a:prstGeom prst="rect">
          <a:avLst/>
        </a:prstGeom>
      </xdr:spPr>
    </xdr:pic>
    <xdr:clientData/>
  </xdr:twoCellAnchor>
  <xdr:twoCellAnchor>
    <xdr:from>
      <xdr:col>3</xdr:col>
      <xdr:colOff>1238250</xdr:colOff>
      <xdr:row>0</xdr:row>
      <xdr:rowOff>66675</xdr:rowOff>
    </xdr:from>
    <xdr:to>
      <xdr:col>4</xdr:col>
      <xdr:colOff>466725</xdr:colOff>
      <xdr:row>0</xdr:row>
      <xdr:rowOff>390525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A950589-6E3B-4820-B06D-66A9FAA0E122}"/>
            </a:ext>
          </a:extLst>
        </xdr:cNvPr>
        <xdr:cNvSpPr/>
      </xdr:nvSpPr>
      <xdr:spPr>
        <a:xfrm>
          <a:off x="6838950" y="66675"/>
          <a:ext cx="1743075" cy="323850"/>
        </a:xfrm>
        <a:prstGeom prst="rect">
          <a:avLst/>
        </a:prstGeom>
        <a:solidFill>
          <a:srgbClr val="FFD7B4"/>
        </a:solidFill>
        <a:ln>
          <a:noFill/>
        </a:ln>
        <a:scene3d>
          <a:camera prst="orthographicFront"/>
          <a:lightRig rig="threePt" dir="t"/>
        </a:scene3d>
        <a:sp3d>
          <a:bevelT w="635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2">
                  <a:lumMod val="50000"/>
                </a:schemeClr>
              </a:solidFill>
            </a:rPr>
            <a:t>Return</a:t>
          </a:r>
          <a:r>
            <a:rPr lang="en-US" sz="1100" b="1" baseline="0">
              <a:solidFill>
                <a:schemeClr val="tx2">
                  <a:lumMod val="50000"/>
                </a:schemeClr>
              </a:solidFill>
            </a:rPr>
            <a:t> to Assessment</a:t>
          </a:r>
          <a:endParaRPr lang="en-US" sz="1100" b="1">
            <a:solidFill>
              <a:schemeClr val="tx2">
                <a:lumMod val="50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411815</xdr:colOff>
      <xdr:row>250</xdr:row>
      <xdr:rowOff>164648</xdr:rowOff>
    </xdr:from>
    <xdr:to>
      <xdr:col>9</xdr:col>
      <xdr:colOff>209550</xdr:colOff>
      <xdr:row>274</xdr:row>
      <xdr:rowOff>164648</xdr:rowOff>
    </xdr:to>
    <xdr:graphicFrame macro="">
      <xdr:nvGraphicFramePr>
        <xdr:cNvPr id="9" name="Chart 8">
          <a:extLst>
            <a:ext uri="{FF2B5EF4-FFF2-40B4-BE49-F238E27FC236}">
              <a16:creationId xmlns:a16="http://schemas.microsoft.com/office/drawing/2014/main" id="{1A4D7134-9D57-E641-B9EF-546215172C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219</xdr:row>
      <xdr:rowOff>127903</xdr:rowOff>
    </xdr:from>
    <xdr:to>
      <xdr:col>9</xdr:col>
      <xdr:colOff>28576</xdr:colOff>
      <xdr:row>245</xdr:row>
      <xdr:rowOff>55785</xdr:rowOff>
    </xdr:to>
    <xdr:graphicFrame macro="">
      <xdr:nvGraphicFramePr>
        <xdr:cNvPr id="10" name="Chart 9">
          <a:extLst>
            <a:ext uri="{FF2B5EF4-FFF2-40B4-BE49-F238E27FC236}">
              <a16:creationId xmlns:a16="http://schemas.microsoft.com/office/drawing/2014/main" id="{FFDB0204-331D-A34E-B257-566F3A46C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19050</xdr:rowOff>
    </xdr:from>
    <xdr:to>
      <xdr:col>1</xdr:col>
      <xdr:colOff>351840</xdr:colOff>
      <xdr:row>0</xdr:row>
      <xdr:rowOff>402386</xdr:rowOff>
    </xdr:to>
    <xdr:pic>
      <xdr:nvPicPr>
        <xdr:cNvPr id="2" name="Picture 1">
          <a:extLst>
            <a:ext uri="{FF2B5EF4-FFF2-40B4-BE49-F238E27FC236}">
              <a16:creationId xmlns:a16="http://schemas.microsoft.com/office/drawing/2014/main" id="{431E8C07-62FC-4BDF-BF04-E6D5D86FE44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1417" t="15617" r="12205" b="18626"/>
        <a:stretch/>
      </xdr:blipFill>
      <xdr:spPr>
        <a:xfrm>
          <a:off x="0" y="19050"/>
          <a:ext cx="932865" cy="383336"/>
        </a:xfrm>
        <a:prstGeom prst="rect">
          <a:avLst/>
        </a:prstGeom>
      </xdr:spPr>
    </xdr:pic>
    <xdr:clientData/>
  </xdr:twoCellAnchor>
  <xdr:twoCellAnchor>
    <xdr:from>
      <xdr:col>9</xdr:col>
      <xdr:colOff>85725</xdr:colOff>
      <xdr:row>20</xdr:row>
      <xdr:rowOff>0</xdr:rowOff>
    </xdr:from>
    <xdr:to>
      <xdr:col>11</xdr:col>
      <xdr:colOff>104775</xdr:colOff>
      <xdr:row>22</xdr:row>
      <xdr:rowOff>72277</xdr:rowOff>
    </xdr:to>
    <xdr:sp macro="" textlink="">
      <xdr:nvSpPr>
        <xdr:cNvPr id="3" name="Rectangle 2">
          <a:hlinkClick xmlns:r="http://schemas.openxmlformats.org/officeDocument/2006/relationships" r:id="rId4"/>
          <a:extLst>
            <a:ext uri="{FF2B5EF4-FFF2-40B4-BE49-F238E27FC236}">
              <a16:creationId xmlns:a16="http://schemas.microsoft.com/office/drawing/2014/main" id="{261F6E6D-1628-46DC-AC91-54D294B68228}"/>
            </a:ext>
          </a:extLst>
        </xdr:cNvPr>
        <xdr:cNvSpPr/>
      </xdr:nvSpPr>
      <xdr:spPr>
        <a:xfrm>
          <a:off x="14106525" y="5276850"/>
          <a:ext cx="2095500" cy="596152"/>
        </a:xfrm>
        <a:prstGeom prst="rect">
          <a:avLst/>
        </a:prstGeom>
        <a:solidFill>
          <a:srgbClr val="B0ABF4"/>
        </a:solidFill>
        <a:ln>
          <a:noFill/>
        </a:ln>
        <a:scene3d>
          <a:camera prst="orthographicFront"/>
          <a:lightRig rig="threePt" dir="t"/>
        </a:scene3d>
        <a:sp3d>
          <a:bevelT w="635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2">
                  <a:lumMod val="50000"/>
                </a:schemeClr>
              </a:solidFill>
            </a:rPr>
            <a:t>View Soil</a:t>
          </a:r>
          <a:r>
            <a:rPr lang="en-US" sz="1100" b="1" baseline="0">
              <a:solidFill>
                <a:schemeClr val="tx2">
                  <a:lumMod val="50000"/>
                </a:schemeClr>
              </a:solidFill>
            </a:rPr>
            <a:t> </a:t>
          </a:r>
          <a:r>
            <a:rPr lang="en-US" sz="1100" b="1">
              <a:solidFill>
                <a:schemeClr val="tx2">
                  <a:lumMod val="50000"/>
                </a:schemeClr>
              </a:solidFill>
              <a:latin typeface="+mn-lt"/>
              <a:ea typeface="+mn-ea"/>
              <a:cs typeface="+mn-cs"/>
            </a:rPr>
            <a:t>Data Parameters for GHG Calculations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351840</xdr:colOff>
      <xdr:row>0</xdr:row>
      <xdr:rowOff>411911</xdr:rowOff>
    </xdr:to>
    <xdr:pic>
      <xdr:nvPicPr>
        <xdr:cNvPr id="2" name="Picture 1">
          <a:extLst>
            <a:ext uri="{FF2B5EF4-FFF2-40B4-BE49-F238E27FC236}">
              <a16:creationId xmlns:a16="http://schemas.microsoft.com/office/drawing/2014/main" id="{5157DF8A-101D-414F-801D-C4E7E14475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417" t="15617" r="12205" b="18626"/>
        <a:stretch/>
      </xdr:blipFill>
      <xdr:spPr>
        <a:xfrm>
          <a:off x="0" y="28575"/>
          <a:ext cx="932865" cy="383336"/>
        </a:xfrm>
        <a:prstGeom prst="rect">
          <a:avLst/>
        </a:prstGeom>
      </xdr:spPr>
    </xdr:pic>
    <xdr:clientData/>
  </xdr:twoCellAnchor>
  <xdr:twoCellAnchor>
    <xdr:from>
      <xdr:col>4</xdr:col>
      <xdr:colOff>876300</xdr:colOff>
      <xdr:row>0</xdr:row>
      <xdr:rowOff>47625</xdr:rowOff>
    </xdr:from>
    <xdr:to>
      <xdr:col>4</xdr:col>
      <xdr:colOff>2619375</xdr:colOff>
      <xdr:row>0</xdr:row>
      <xdr:rowOff>371475</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BC0AF8EF-9E92-47E6-82D4-200E69B82BDE}"/>
            </a:ext>
          </a:extLst>
        </xdr:cNvPr>
        <xdr:cNvSpPr/>
      </xdr:nvSpPr>
      <xdr:spPr>
        <a:xfrm>
          <a:off x="10106025" y="47625"/>
          <a:ext cx="1743075" cy="323850"/>
        </a:xfrm>
        <a:prstGeom prst="rect">
          <a:avLst/>
        </a:prstGeom>
        <a:solidFill>
          <a:srgbClr val="FFD7B4"/>
        </a:solidFill>
        <a:ln>
          <a:noFill/>
        </a:ln>
        <a:scene3d>
          <a:camera prst="orthographicFront"/>
          <a:lightRig rig="threePt" dir="t"/>
        </a:scene3d>
        <a:sp3d>
          <a:bevelT w="635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2">
                  <a:lumMod val="50000"/>
                </a:schemeClr>
              </a:solidFill>
            </a:rPr>
            <a:t>Return</a:t>
          </a:r>
          <a:r>
            <a:rPr lang="en-US" sz="1100" b="1" baseline="0">
              <a:solidFill>
                <a:schemeClr val="tx2">
                  <a:lumMod val="50000"/>
                </a:schemeClr>
              </a:solidFill>
            </a:rPr>
            <a:t> to Assessment</a:t>
          </a:r>
          <a:endParaRPr lang="en-US" sz="1100" b="1">
            <a:solidFill>
              <a:schemeClr val="tx2">
                <a:lumMod val="50000"/>
              </a:schemeClr>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68D88-51D8-4721-93C0-98A4D4578637}">
  <dimension ref="A1:L11"/>
  <sheetViews>
    <sheetView showGridLines="0" workbookViewId="0"/>
  </sheetViews>
  <sheetFormatPr baseColWidth="10" defaultColWidth="9" defaultRowHeight="16" x14ac:dyDescent="0.2"/>
  <cols>
    <col min="1" max="1" width="7.6640625" customWidth="1"/>
    <col min="2" max="2" width="29.5" bestFit="1" customWidth="1"/>
    <col min="3" max="3" width="23.1640625" customWidth="1"/>
    <col min="4" max="4" width="22.6640625" customWidth="1"/>
  </cols>
  <sheetData>
    <row r="1" spans="1:12" s="218" customFormat="1" ht="62.25" customHeight="1" x14ac:dyDescent="0.2">
      <c r="C1" s="855" t="s">
        <v>0</v>
      </c>
      <c r="D1" s="855"/>
      <c r="E1" s="855"/>
      <c r="F1" s="219"/>
      <c r="G1" s="219"/>
      <c r="H1" s="219"/>
      <c r="I1" s="219"/>
      <c r="J1" s="219"/>
      <c r="K1" s="219"/>
      <c r="L1" s="219"/>
    </row>
    <row r="3" spans="1:12" s="524" customFormat="1" ht="24" customHeight="1" x14ac:dyDescent="0.2">
      <c r="A3" s="522"/>
      <c r="B3" s="522" t="s">
        <v>620</v>
      </c>
      <c r="C3" s="522"/>
      <c r="D3" s="522"/>
      <c r="E3" s="523"/>
      <c r="F3" s="523"/>
      <c r="G3" s="523"/>
      <c r="H3" s="523"/>
      <c r="I3" s="523"/>
      <c r="J3" s="523"/>
      <c r="K3" s="523"/>
      <c r="L3" s="523"/>
    </row>
    <row r="4" spans="1:12" ht="33" customHeight="1" x14ac:dyDescent="0.2">
      <c r="B4" s="417" t="s">
        <v>744</v>
      </c>
    </row>
    <row r="5" spans="1:12" x14ac:dyDescent="0.2">
      <c r="B5" s="859" t="s">
        <v>1</v>
      </c>
      <c r="C5" s="860"/>
      <c r="D5" s="860"/>
    </row>
    <row r="6" spans="1:12" ht="42.75" customHeight="1" x14ac:dyDescent="0.2">
      <c r="B6" s="511" t="s">
        <v>775</v>
      </c>
      <c r="C6" s="858" t="s">
        <v>2</v>
      </c>
      <c r="D6" s="858"/>
    </row>
    <row r="7" spans="1:12" ht="28.5" customHeight="1" x14ac:dyDescent="0.2">
      <c r="B7" s="512" t="s">
        <v>3</v>
      </c>
      <c r="C7" s="856" t="s">
        <v>4</v>
      </c>
      <c r="D7" s="857"/>
    </row>
    <row r="8" spans="1:12" ht="24" customHeight="1" x14ac:dyDescent="0.2">
      <c r="B8" s="513" t="s">
        <v>5</v>
      </c>
      <c r="C8" s="513" t="s">
        <v>6</v>
      </c>
      <c r="D8" s="513" t="s">
        <v>7</v>
      </c>
    </row>
    <row r="9" spans="1:12" ht="24" customHeight="1" x14ac:dyDescent="0.2">
      <c r="B9" s="513" t="s">
        <v>8</v>
      </c>
      <c r="C9" s="856" t="s">
        <v>9</v>
      </c>
      <c r="D9" s="857"/>
    </row>
    <row r="10" spans="1:12" ht="24" customHeight="1" x14ac:dyDescent="0.2">
      <c r="B10" s="513" t="s">
        <v>10</v>
      </c>
      <c r="C10" s="856" t="s">
        <v>11</v>
      </c>
      <c r="D10" s="857"/>
    </row>
    <row r="11" spans="1:12" ht="24" customHeight="1" x14ac:dyDescent="0.2">
      <c r="B11" s="513" t="s">
        <v>12</v>
      </c>
      <c r="C11" s="856" t="s">
        <v>13</v>
      </c>
      <c r="D11" s="857"/>
    </row>
  </sheetData>
  <mergeCells count="7">
    <mergeCell ref="C1:E1"/>
    <mergeCell ref="C9:D9"/>
    <mergeCell ref="C10:D10"/>
    <mergeCell ref="C11:D11"/>
    <mergeCell ref="C7:D7"/>
    <mergeCell ref="C6:D6"/>
    <mergeCell ref="B5:D5"/>
  </mergeCells>
  <hyperlinks>
    <hyperlink ref="B8" location="'Chapter 5 - Assessment'!A1" display="Chapter 5 Calculations" xr:uid="{BB30B982-4FB5-4852-AFEC-35A7F1536D9B}"/>
    <hyperlink ref="B9" location="'Chapter 6 - Assessment'!A1" display="Chapter 6 Calculations" xr:uid="{4C0F19A1-9F94-45B2-A02B-810913B70D30}"/>
    <hyperlink ref="B10" location="'Chapter 7 - Assessment'!A1" display="Chapter 7 Calculations" xr:uid="{E643FD29-930C-4BBE-A62D-DF096466D5E9}"/>
    <hyperlink ref="B11" location="'Chapter 8 - Assessment'!A1" display="Chapter 8 Calculations" xr:uid="{933E9F68-000A-4264-A7F4-28C75920098F}"/>
    <hyperlink ref="C8" location="'Manure Data'!A1" display="Manure Data" xr:uid="{29BDC1B5-D94D-42B7-85FC-27CEA8F356B6}"/>
    <hyperlink ref="D8" location="'Enteric Fermentation Data'!A1" display="Enteric Fermentation" xr:uid="{1259E0A6-A88C-4DD6-B262-8CB6BABCC06C}"/>
    <hyperlink ref="C7:D7" location="'Hypothetical Country'!A1" display="Hypothetical Country National Circumstances" xr:uid="{3747171C-7C76-49A7-850D-A622533DFD5C}"/>
    <hyperlink ref="C10:D10" location="'Soil Data'!A1" display="Soil Data" xr:uid="{C56BFB30-DB7E-4C5D-B573-32C41DAA4053}"/>
    <hyperlink ref="C11:D11" location="'Rice Data'!A1" display="Rice Cultivation Data" xr:uid="{8299B372-7B9C-41C8-86C9-D112D522145D}"/>
    <hyperlink ref="C9:D9" location="'Nutrient Data'!A1" display="Nutrient Data" xr:uid="{5773FF02-5230-452D-8A41-924AF9595046}"/>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43AC3-D995-44ED-A540-22CAC6DBC462}">
  <sheetPr>
    <tabColor rgb="FF404040"/>
  </sheetPr>
  <dimension ref="A1:Y152"/>
  <sheetViews>
    <sheetView showGridLines="0" workbookViewId="0">
      <selection activeCell="B9" sqref="B9"/>
    </sheetView>
  </sheetViews>
  <sheetFormatPr baseColWidth="10" defaultColWidth="11" defaultRowHeight="16" x14ac:dyDescent="0.2"/>
  <cols>
    <col min="1" max="1" width="7.6640625" style="24" customWidth="1"/>
    <col min="2" max="2" width="59.1640625" style="42" bestFit="1" customWidth="1"/>
    <col min="3" max="3" width="24.1640625" style="8" customWidth="1"/>
    <col min="4" max="4" width="15.6640625" style="8" customWidth="1"/>
    <col min="5" max="5" width="20.83203125" style="19" customWidth="1"/>
    <col min="6" max="11" width="20.83203125" style="24" customWidth="1"/>
    <col min="12" max="12" width="22.1640625" style="24" customWidth="1"/>
    <col min="13" max="13" width="19.6640625" style="24" customWidth="1"/>
    <col min="14" max="14" width="18" style="24" customWidth="1"/>
    <col min="15" max="23" width="16.1640625" style="24" bestFit="1" customWidth="1"/>
    <col min="24" max="24" width="13.33203125" style="24" bestFit="1" customWidth="1"/>
    <col min="25" max="25" width="40.6640625" style="42" customWidth="1"/>
    <col min="26" max="16384" width="11" style="9"/>
  </cols>
  <sheetData>
    <row r="1" spans="1:25" customFormat="1" ht="35" customHeight="1" x14ac:dyDescent="0.2">
      <c r="A1" s="115"/>
      <c r="B1" s="309" t="s">
        <v>480</v>
      </c>
      <c r="C1" s="109"/>
      <c r="D1" s="110"/>
      <c r="E1" s="110"/>
      <c r="F1" s="110"/>
      <c r="G1" s="111"/>
      <c r="H1" s="108"/>
      <c r="I1" s="112"/>
      <c r="J1" s="112"/>
      <c r="K1" s="108"/>
      <c r="L1" s="112"/>
      <c r="M1" s="113"/>
      <c r="N1" s="113"/>
      <c r="O1" s="113"/>
      <c r="P1" s="113"/>
      <c r="Q1" s="113"/>
      <c r="R1" s="113"/>
      <c r="S1" s="113"/>
      <c r="T1" s="113"/>
      <c r="U1" s="113"/>
      <c r="V1" s="113"/>
      <c r="W1" s="113"/>
      <c r="X1" s="113"/>
      <c r="Y1" s="113"/>
    </row>
    <row r="2" spans="1:25" customFormat="1" ht="42.75" customHeight="1" x14ac:dyDescent="0.2">
      <c r="B2" s="884" t="s">
        <v>847</v>
      </c>
      <c r="C2" s="884"/>
      <c r="D2" s="884"/>
      <c r="E2" s="884"/>
      <c r="F2" s="884"/>
      <c r="G2" s="884"/>
    </row>
    <row r="3" spans="1:25" customFormat="1" ht="17" x14ac:dyDescent="0.2">
      <c r="A3" s="1"/>
      <c r="B3" s="374" t="s">
        <v>818</v>
      </c>
      <c r="C3" s="535" t="s">
        <v>858</v>
      </c>
      <c r="D3" s="374"/>
      <c r="E3" s="374"/>
      <c r="F3" s="374"/>
      <c r="G3" s="374"/>
    </row>
    <row r="4" spans="1:25" customFormat="1" ht="17" x14ac:dyDescent="0.2">
      <c r="A4" s="1"/>
      <c r="B4" s="374" t="s">
        <v>819</v>
      </c>
      <c r="C4" s="847" t="s">
        <v>862</v>
      </c>
      <c r="D4" s="374"/>
      <c r="E4" s="374"/>
      <c r="F4" s="374"/>
      <c r="G4" s="374"/>
    </row>
    <row r="5" spans="1:25" customFormat="1" ht="17" x14ac:dyDescent="0.2">
      <c r="A5" s="1"/>
      <c r="B5" s="374" t="s">
        <v>859</v>
      </c>
      <c r="C5" s="374"/>
      <c r="D5" s="374"/>
      <c r="E5" s="374"/>
      <c r="F5" s="374"/>
      <c r="G5" s="374"/>
    </row>
    <row r="6" spans="1:25" customFormat="1" x14ac:dyDescent="0.2">
      <c r="A6" s="1"/>
      <c r="B6" s="374"/>
      <c r="C6" s="374"/>
      <c r="D6" s="374"/>
      <c r="E6" s="374"/>
      <c r="F6" s="374"/>
      <c r="G6" s="374"/>
    </row>
    <row r="7" spans="1:25" s="317" customFormat="1" ht="19" x14ac:dyDescent="0.2">
      <c r="A7" s="336">
        <v>1</v>
      </c>
      <c r="B7" s="318" t="s">
        <v>622</v>
      </c>
      <c r="C7" s="318"/>
      <c r="D7" s="318"/>
      <c r="E7" s="318"/>
      <c r="F7" s="318"/>
      <c r="G7" s="319"/>
      <c r="H7" s="320"/>
      <c r="I7" s="321"/>
      <c r="J7" s="322"/>
      <c r="K7" s="322"/>
      <c r="L7" s="321"/>
      <c r="M7" s="322"/>
      <c r="N7" s="323"/>
      <c r="O7" s="323"/>
      <c r="P7" s="323"/>
      <c r="Q7" s="323"/>
      <c r="R7" s="323"/>
      <c r="S7" s="323"/>
      <c r="T7" s="323"/>
      <c r="U7" s="323"/>
      <c r="V7" s="323"/>
      <c r="W7" s="323"/>
      <c r="X7" s="323"/>
      <c r="Y7" s="323"/>
    </row>
    <row r="8" spans="1:25" customFormat="1" ht="53.25" customHeight="1" x14ac:dyDescent="0.2">
      <c r="B8" s="884" t="s">
        <v>848</v>
      </c>
      <c r="C8" s="884"/>
      <c r="D8" s="884"/>
      <c r="E8" s="884"/>
      <c r="F8" s="884"/>
      <c r="G8" s="884"/>
    </row>
    <row r="9" spans="1:25" customFormat="1" x14ac:dyDescent="0.2">
      <c r="B9" s="409" t="s">
        <v>740</v>
      </c>
      <c r="C9" s="374"/>
      <c r="D9" s="374"/>
      <c r="E9" s="374"/>
      <c r="F9" s="374"/>
      <c r="G9" s="374"/>
    </row>
    <row r="10" spans="1:25" x14ac:dyDescent="0.2">
      <c r="B10" s="409" t="s">
        <v>742</v>
      </c>
      <c r="C10" s="24"/>
      <c r="D10" s="24"/>
    </row>
    <row r="11" spans="1:25" ht="17" thickBot="1" x14ac:dyDescent="0.25">
      <c r="B11" s="409"/>
      <c r="C11" s="24"/>
      <c r="D11" s="24"/>
    </row>
    <row r="12" spans="1:25" ht="18" x14ac:dyDescent="0.2">
      <c r="B12" s="970" t="s">
        <v>711</v>
      </c>
      <c r="C12" s="971"/>
      <c r="D12" s="971"/>
      <c r="E12" s="974" t="s">
        <v>118</v>
      </c>
      <c r="F12" s="975" t="s">
        <v>119</v>
      </c>
    </row>
    <row r="13" spans="1:25" ht="15.75" customHeight="1" x14ac:dyDescent="0.2">
      <c r="B13" s="331" t="s">
        <v>117</v>
      </c>
      <c r="C13" s="327" t="s">
        <v>120</v>
      </c>
      <c r="D13" s="327" t="s">
        <v>412</v>
      </c>
      <c r="E13" s="899"/>
      <c r="F13" s="976"/>
      <c r="G13" s="9"/>
      <c r="H13" s="9"/>
      <c r="I13" s="9"/>
      <c r="J13" s="9"/>
      <c r="K13" s="9"/>
      <c r="L13" s="9"/>
      <c r="M13" s="9"/>
      <c r="N13" s="9"/>
    </row>
    <row r="14" spans="1:25" ht="17" x14ac:dyDescent="0.2">
      <c r="B14" s="332" t="s">
        <v>123</v>
      </c>
      <c r="C14" s="328">
        <f>D86</f>
        <v>10.172511991907053</v>
      </c>
      <c r="D14" s="328">
        <f>X86</f>
        <v>10.172511991907053</v>
      </c>
      <c r="E14" s="386" t="s">
        <v>332</v>
      </c>
      <c r="F14" s="140" t="s">
        <v>332</v>
      </c>
      <c r="G14" s="9"/>
      <c r="H14" s="9"/>
      <c r="I14" s="9"/>
      <c r="J14" s="9"/>
      <c r="K14" s="9"/>
      <c r="L14" s="9"/>
      <c r="M14" s="9"/>
      <c r="N14" s="9"/>
    </row>
    <row r="15" spans="1:25" ht="17" x14ac:dyDescent="0.2">
      <c r="B15" s="332" t="s">
        <v>423</v>
      </c>
      <c r="C15" s="148">
        <f>D109</f>
        <v>10.178468885085472</v>
      </c>
      <c r="D15" s="148">
        <f>X109</f>
        <v>11.534327265885469</v>
      </c>
      <c r="E15" s="379">
        <f>(D15-C15)/C15</f>
        <v>0.133208481168198</v>
      </c>
      <c r="F15" s="408">
        <f>D14-D15</f>
        <v>-1.3618152739784168</v>
      </c>
      <c r="G15" s="9"/>
      <c r="H15" s="9"/>
      <c r="I15" s="9"/>
      <c r="J15" s="9"/>
      <c r="K15" s="9"/>
      <c r="L15" s="9"/>
      <c r="M15" s="9"/>
      <c r="N15" s="9"/>
    </row>
    <row r="16" spans="1:25" ht="18" x14ac:dyDescent="0.2">
      <c r="B16" s="972" t="s">
        <v>712</v>
      </c>
      <c r="C16" s="973"/>
      <c r="D16" s="973"/>
      <c r="E16" s="899" t="s">
        <v>118</v>
      </c>
      <c r="F16" s="976" t="s">
        <v>119</v>
      </c>
      <c r="G16" s="378"/>
      <c r="H16" s="378"/>
      <c r="I16" s="286"/>
      <c r="J16" s="378"/>
      <c r="K16" s="378"/>
      <c r="L16" s="378"/>
      <c r="M16" s="286"/>
      <c r="N16" s="378"/>
    </row>
    <row r="17" spans="1:25" ht="17" x14ac:dyDescent="0.2">
      <c r="B17" s="331" t="s">
        <v>117</v>
      </c>
      <c r="C17" s="327" t="s">
        <v>120</v>
      </c>
      <c r="D17" s="327" t="s">
        <v>412</v>
      </c>
      <c r="E17" s="899"/>
      <c r="F17" s="976"/>
      <c r="G17" s="378"/>
      <c r="H17" s="378"/>
      <c r="I17" s="286"/>
      <c r="J17" s="378"/>
      <c r="K17" s="378"/>
      <c r="L17" s="378"/>
      <c r="M17" s="286"/>
      <c r="N17" s="378"/>
    </row>
    <row r="18" spans="1:25" ht="17" x14ac:dyDescent="0.2">
      <c r="B18" s="332" t="s">
        <v>123</v>
      </c>
      <c r="C18" s="328">
        <f>E81</f>
        <v>161.43939839999999</v>
      </c>
      <c r="D18" s="328">
        <f>X81</f>
        <v>161.43939839999999</v>
      </c>
      <c r="E18" s="387" t="s">
        <v>332</v>
      </c>
      <c r="F18" s="388" t="s">
        <v>332</v>
      </c>
      <c r="G18" s="378"/>
      <c r="H18" s="378"/>
      <c r="I18" s="286"/>
      <c r="J18" s="378"/>
      <c r="K18" s="378"/>
      <c r="L18" s="378"/>
      <c r="M18" s="286"/>
      <c r="N18" s="378"/>
    </row>
    <row r="19" spans="1:25" ht="17" x14ac:dyDescent="0.2">
      <c r="B19" s="332" t="s">
        <v>423</v>
      </c>
      <c r="C19" s="148">
        <f>E102</f>
        <v>161.43939839999999</v>
      </c>
      <c r="D19" s="148">
        <f>X102</f>
        <v>132.70318548480003</v>
      </c>
      <c r="E19" s="379">
        <f>(D19-C19)/C19</f>
        <v>-0.17799999999999974</v>
      </c>
      <c r="F19" s="380">
        <f>D18-D19</f>
        <v>28.736212915199957</v>
      </c>
      <c r="G19" s="378"/>
      <c r="H19" s="378"/>
      <c r="I19" s="286"/>
      <c r="J19" s="378"/>
      <c r="K19" s="378"/>
      <c r="L19" s="378"/>
      <c r="M19" s="286"/>
      <c r="N19" s="378"/>
    </row>
    <row r="20" spans="1:25" ht="18" x14ac:dyDescent="0.2">
      <c r="B20" s="972" t="s">
        <v>714</v>
      </c>
      <c r="C20" s="973" t="s">
        <v>611</v>
      </c>
      <c r="D20" s="973"/>
      <c r="E20" s="899" t="s">
        <v>118</v>
      </c>
      <c r="F20" s="976" t="s">
        <v>119</v>
      </c>
      <c r="G20" s="378"/>
      <c r="H20" s="378"/>
      <c r="I20" s="286"/>
      <c r="J20" s="378"/>
      <c r="K20" s="378"/>
      <c r="L20" s="378"/>
      <c r="M20" s="286"/>
      <c r="N20" s="378"/>
    </row>
    <row r="21" spans="1:25" ht="17" x14ac:dyDescent="0.2">
      <c r="B21" s="331" t="s">
        <v>117</v>
      </c>
      <c r="C21" s="384" t="s">
        <v>120</v>
      </c>
      <c r="D21" s="385" t="s">
        <v>412</v>
      </c>
      <c r="E21" s="899"/>
      <c r="F21" s="976"/>
      <c r="G21" s="378"/>
      <c r="H21" s="378"/>
      <c r="I21" s="286"/>
      <c r="J21" s="378"/>
      <c r="K21" s="378"/>
      <c r="L21" s="378"/>
      <c r="M21" s="286"/>
      <c r="N21" s="378"/>
    </row>
    <row r="22" spans="1:25" ht="17" x14ac:dyDescent="0.2">
      <c r="B22" s="332" t="s">
        <v>123</v>
      </c>
      <c r="C22" s="330">
        <f>C14+C18</f>
        <v>171.61191039190703</v>
      </c>
      <c r="D22" s="330">
        <f>D14+D18</f>
        <v>171.61191039190703</v>
      </c>
      <c r="E22" s="387" t="s">
        <v>332</v>
      </c>
      <c r="F22" s="388" t="s">
        <v>332</v>
      </c>
      <c r="G22" s="378"/>
      <c r="H22" s="378"/>
      <c r="I22" s="286"/>
      <c r="J22" s="378"/>
      <c r="K22" s="378"/>
      <c r="L22" s="378"/>
      <c r="M22" s="286"/>
      <c r="N22" s="378"/>
    </row>
    <row r="23" spans="1:25" ht="18" thickBot="1" x14ac:dyDescent="0.25">
      <c r="B23" s="333" t="s">
        <v>423</v>
      </c>
      <c r="C23" s="381">
        <f>C15+C19</f>
        <v>171.61786728508545</v>
      </c>
      <c r="D23" s="381">
        <f>D15+D19</f>
        <v>144.23751275068551</v>
      </c>
      <c r="E23" s="382">
        <f>(D23-C23)/C23</f>
        <v>-0.15954256376416029</v>
      </c>
      <c r="F23" s="383">
        <f>D22-D23</f>
        <v>27.37439764122152</v>
      </c>
      <c r="G23" s="378"/>
      <c r="H23" s="378"/>
      <c r="I23" s="286"/>
      <c r="J23" s="378"/>
      <c r="K23" s="378"/>
      <c r="L23" s="378"/>
      <c r="M23" s="286"/>
      <c r="N23" s="378"/>
    </row>
    <row r="24" spans="1:25" x14ac:dyDescent="0.2">
      <c r="C24" s="378"/>
      <c r="D24" s="378"/>
      <c r="E24" s="286"/>
      <c r="F24" s="62"/>
      <c r="G24" s="378"/>
      <c r="H24" s="378"/>
      <c r="I24" s="286"/>
      <c r="J24" s="378"/>
      <c r="K24" s="378"/>
      <c r="L24" s="378"/>
      <c r="M24" s="286"/>
      <c r="N24" s="378"/>
    </row>
    <row r="25" spans="1:25" x14ac:dyDescent="0.2">
      <c r="C25" s="378"/>
      <c r="D25" s="378"/>
      <c r="E25" s="286"/>
      <c r="F25" s="62"/>
      <c r="G25" s="378"/>
      <c r="H25" s="378"/>
      <c r="I25" s="286"/>
      <c r="J25" s="378"/>
      <c r="K25" s="378"/>
      <c r="L25" s="378"/>
      <c r="M25" s="286"/>
      <c r="N25" s="378"/>
    </row>
    <row r="26" spans="1:25" s="317" customFormat="1" ht="19" x14ac:dyDescent="0.2">
      <c r="A26" s="336">
        <v>2</v>
      </c>
      <c r="B26" s="318" t="s">
        <v>737</v>
      </c>
      <c r="C26" s="318"/>
      <c r="D26" s="318"/>
      <c r="E26" s="318"/>
      <c r="F26" s="318"/>
      <c r="G26" s="319"/>
      <c r="H26" s="320"/>
      <c r="I26" s="321"/>
      <c r="J26" s="322"/>
      <c r="K26" s="322"/>
      <c r="L26" s="321"/>
      <c r="M26" s="322"/>
      <c r="N26" s="323"/>
      <c r="O26" s="323"/>
      <c r="P26" s="323"/>
      <c r="Q26" s="323"/>
      <c r="R26" s="323"/>
      <c r="S26" s="323"/>
      <c r="T26" s="323"/>
      <c r="U26" s="323"/>
      <c r="V26" s="323"/>
      <c r="W26" s="323"/>
      <c r="X26" s="323"/>
      <c r="Y26" s="323"/>
    </row>
    <row r="27" spans="1:25" customFormat="1" ht="30" customHeight="1" x14ac:dyDescent="0.2">
      <c r="B27" s="417" t="s">
        <v>849</v>
      </c>
    </row>
    <row r="28" spans="1:25" s="24" customFormat="1" ht="27.75" customHeight="1" thickBot="1" x14ac:dyDescent="0.25">
      <c r="A28" s="8"/>
      <c r="B28" s="417" t="s">
        <v>850</v>
      </c>
      <c r="O28" s="8"/>
    </row>
    <row r="29" spans="1:25" ht="17" x14ac:dyDescent="0.2">
      <c r="B29" s="649" t="s">
        <v>481</v>
      </c>
      <c r="C29" s="792" t="s">
        <v>126</v>
      </c>
      <c r="D29" s="793" t="s">
        <v>127</v>
      </c>
    </row>
    <row r="30" spans="1:25" ht="18.75" customHeight="1" x14ac:dyDescent="0.2">
      <c r="B30" s="576" t="s">
        <v>482</v>
      </c>
      <c r="C30" s="94" t="s">
        <v>483</v>
      </c>
      <c r="D30" s="794">
        <v>9.8000000000000007</v>
      </c>
    </row>
    <row r="31" spans="1:25" ht="18.75" customHeight="1" x14ac:dyDescent="0.2">
      <c r="B31" s="576" t="s">
        <v>484</v>
      </c>
      <c r="C31" s="94" t="s">
        <v>485</v>
      </c>
      <c r="D31" s="794">
        <v>112</v>
      </c>
    </row>
    <row r="32" spans="1:25" ht="19.5" customHeight="1" x14ac:dyDescent="0.2">
      <c r="B32" s="576" t="s">
        <v>486</v>
      </c>
      <c r="C32" s="276" t="s">
        <v>501</v>
      </c>
      <c r="D32" s="794">
        <v>2</v>
      </c>
    </row>
    <row r="33" spans="2:13" ht="18.75" customHeight="1" x14ac:dyDescent="0.2">
      <c r="B33" s="576" t="s">
        <v>487</v>
      </c>
      <c r="C33" s="94" t="s">
        <v>488</v>
      </c>
      <c r="D33" s="795">
        <v>30282</v>
      </c>
    </row>
    <row r="34" spans="2:13" ht="18.75" customHeight="1" x14ac:dyDescent="0.2">
      <c r="B34" s="576" t="s">
        <v>489</v>
      </c>
      <c r="C34" s="94" t="s">
        <v>488</v>
      </c>
      <c r="D34" s="795">
        <f>D33*D32</f>
        <v>60564</v>
      </c>
    </row>
    <row r="35" spans="2:13" ht="18.75" customHeight="1" x14ac:dyDescent="0.2">
      <c r="B35" s="576" t="s">
        <v>490</v>
      </c>
      <c r="C35" s="94" t="s">
        <v>609</v>
      </c>
      <c r="D35" s="795">
        <v>268.8</v>
      </c>
    </row>
    <row r="36" spans="2:13" ht="30.75" customHeight="1" x14ac:dyDescent="0.2">
      <c r="B36" s="576" t="s">
        <v>491</v>
      </c>
      <c r="C36" s="94" t="s">
        <v>492</v>
      </c>
      <c r="D36" s="794">
        <v>0</v>
      </c>
      <c r="F36"/>
      <c r="G36"/>
    </row>
    <row r="37" spans="2:13" ht="18.75" customHeight="1" x14ac:dyDescent="0.2">
      <c r="B37" s="796" t="s">
        <v>493</v>
      </c>
      <c r="C37" s="276" t="s">
        <v>501</v>
      </c>
      <c r="D37" s="794">
        <v>1</v>
      </c>
      <c r="F37"/>
      <c r="G37"/>
      <c r="H37" s="29"/>
      <c r="I37" s="29"/>
      <c r="J37" s="29"/>
      <c r="K37" s="29"/>
      <c r="L37" s="29"/>
      <c r="M37" s="26"/>
    </row>
    <row r="38" spans="2:13" ht="18.75" customHeight="1" x14ac:dyDescent="0.2">
      <c r="B38" s="796" t="s">
        <v>494</v>
      </c>
      <c r="C38" s="276" t="s">
        <v>501</v>
      </c>
      <c r="D38" s="794">
        <v>0</v>
      </c>
      <c r="F38"/>
      <c r="G38"/>
      <c r="H38" s="30"/>
      <c r="I38" s="157"/>
      <c r="J38" s="30"/>
      <c r="K38" s="30"/>
      <c r="L38" s="31"/>
      <c r="M38" s="26"/>
    </row>
    <row r="39" spans="2:13" ht="32.25" customHeight="1" thickBot="1" x14ac:dyDescent="0.25">
      <c r="B39" s="797" t="s">
        <v>495</v>
      </c>
      <c r="C39" s="647" t="s">
        <v>501</v>
      </c>
      <c r="D39" s="798">
        <v>1</v>
      </c>
      <c r="F39"/>
      <c r="G39"/>
      <c r="H39" s="30"/>
      <c r="I39" s="157"/>
      <c r="J39" s="30"/>
      <c r="K39" s="30"/>
      <c r="L39" s="31"/>
      <c r="M39" s="26"/>
    </row>
    <row r="40" spans="2:13" ht="17" thickBot="1" x14ac:dyDescent="0.25">
      <c r="E40" s="158"/>
      <c r="F40"/>
      <c r="G40"/>
      <c r="H40" s="26"/>
      <c r="I40" s="26"/>
      <c r="J40" s="32"/>
      <c r="K40" s="26"/>
      <c r="L40" s="33"/>
      <c r="M40" s="26"/>
    </row>
    <row r="41" spans="2:13" ht="19" x14ac:dyDescent="0.2">
      <c r="B41" s="799" t="s">
        <v>496</v>
      </c>
      <c r="C41" s="800" t="s">
        <v>126</v>
      </c>
      <c r="D41" s="801" t="s">
        <v>127</v>
      </c>
      <c r="E41" s="158"/>
      <c r="F41"/>
      <c r="G41"/>
      <c r="H41" s="34"/>
      <c r="I41" s="34"/>
      <c r="J41" s="34"/>
    </row>
    <row r="42" spans="2:13" ht="24" customHeight="1" x14ac:dyDescent="0.2">
      <c r="B42" s="802" t="s">
        <v>497</v>
      </c>
      <c r="C42" s="276" t="s">
        <v>498</v>
      </c>
      <c r="D42" s="803">
        <v>0.85</v>
      </c>
      <c r="E42" s="158"/>
      <c r="F42" s="6"/>
      <c r="G42" s="34"/>
      <c r="H42" s="34"/>
      <c r="I42" s="34"/>
      <c r="J42" s="34"/>
    </row>
    <row r="43" spans="2:13" ht="51" customHeight="1" x14ac:dyDescent="0.2">
      <c r="B43" s="802" t="s">
        <v>499</v>
      </c>
      <c r="C43" s="276" t="s">
        <v>498</v>
      </c>
      <c r="D43" s="803">
        <f>D42*(1-80%)</f>
        <v>0.16999999999999996</v>
      </c>
      <c r="E43" s="158"/>
      <c r="F43" s="6"/>
      <c r="G43" s="34"/>
      <c r="H43" s="34"/>
      <c r="I43" s="34"/>
      <c r="J43" s="34"/>
    </row>
    <row r="44" spans="2:13" ht="19" x14ac:dyDescent="0.2">
      <c r="B44" s="802" t="s">
        <v>500</v>
      </c>
      <c r="C44" s="276" t="s">
        <v>501</v>
      </c>
      <c r="D44" s="803">
        <v>1</v>
      </c>
      <c r="E44" s="158"/>
      <c r="F44" s="34"/>
      <c r="G44" s="34"/>
      <c r="H44" s="34"/>
      <c r="I44" s="34"/>
      <c r="J44" s="34"/>
    </row>
    <row r="45" spans="2:13" ht="19" x14ac:dyDescent="0.2">
      <c r="B45" s="802" t="s">
        <v>502</v>
      </c>
      <c r="C45" s="276" t="s">
        <v>501</v>
      </c>
      <c r="D45" s="803">
        <v>0.55000000000000004</v>
      </c>
      <c r="E45" s="158"/>
      <c r="F45" s="34"/>
      <c r="G45" s="34"/>
      <c r="H45" s="34"/>
      <c r="I45" s="34"/>
      <c r="J45" s="34"/>
    </row>
    <row r="46" spans="2:13" ht="19" x14ac:dyDescent="0.2">
      <c r="B46" s="802" t="s">
        <v>503</v>
      </c>
      <c r="C46" s="276" t="s">
        <v>501</v>
      </c>
      <c r="D46" s="803">
        <v>1</v>
      </c>
      <c r="E46" s="159"/>
      <c r="F46" s="34"/>
      <c r="G46" s="34"/>
      <c r="H46" s="34"/>
      <c r="I46" s="34"/>
      <c r="J46" s="34"/>
    </row>
    <row r="47" spans="2:13" ht="17" x14ac:dyDescent="0.2">
      <c r="B47" s="804" t="s">
        <v>504</v>
      </c>
      <c r="C47" s="276" t="s">
        <v>501</v>
      </c>
      <c r="D47" s="803">
        <v>1</v>
      </c>
      <c r="E47" s="158"/>
      <c r="F47" s="34"/>
      <c r="G47" s="34"/>
      <c r="H47" s="34"/>
      <c r="I47" s="34"/>
      <c r="J47" s="34"/>
    </row>
    <row r="48" spans="2:13" ht="20" thickBot="1" x14ac:dyDescent="0.25">
      <c r="B48" s="805" t="s">
        <v>505</v>
      </c>
      <c r="C48" s="647" t="s">
        <v>501</v>
      </c>
      <c r="D48" s="806">
        <f>(1+$D$36*$D$47)^0.59</f>
        <v>1</v>
      </c>
      <c r="E48" s="158"/>
      <c r="F48" s="34"/>
      <c r="G48" s="34"/>
      <c r="H48" s="34"/>
      <c r="I48" s="34"/>
      <c r="J48" s="34"/>
    </row>
    <row r="49" spans="2:14" x14ac:dyDescent="0.2">
      <c r="C49" s="42"/>
      <c r="E49" s="158"/>
      <c r="F49" s="160"/>
      <c r="G49" s="34"/>
      <c r="H49" s="34"/>
      <c r="I49" s="34"/>
      <c r="J49" s="34"/>
    </row>
    <row r="50" spans="2:14" ht="17" thickBot="1" x14ac:dyDescent="0.25"/>
    <row r="51" spans="2:14" ht="19" x14ac:dyDescent="0.2">
      <c r="B51" s="799" t="s">
        <v>506</v>
      </c>
      <c r="C51" s="800" t="s">
        <v>126</v>
      </c>
      <c r="D51" s="801" t="s">
        <v>127</v>
      </c>
      <c r="M51" s="35"/>
      <c r="N51" s="35"/>
    </row>
    <row r="52" spans="2:14" ht="19" x14ac:dyDescent="0.2">
      <c r="B52" s="576" t="s">
        <v>508</v>
      </c>
      <c r="C52" s="94" t="s">
        <v>509</v>
      </c>
      <c r="D52" s="807">
        <v>3.0000000000000001E-3</v>
      </c>
      <c r="E52"/>
      <c r="F52"/>
      <c r="G52"/>
      <c r="M52" s="35"/>
      <c r="N52" s="35"/>
    </row>
    <row r="53" spans="2:14" ht="19" x14ac:dyDescent="0.2">
      <c r="B53" s="576" t="s">
        <v>511</v>
      </c>
      <c r="C53" s="94" t="s">
        <v>509</v>
      </c>
      <c r="D53" s="807">
        <v>5.0000000000000001E-3</v>
      </c>
      <c r="E53"/>
      <c r="F53"/>
      <c r="G53"/>
      <c r="M53" s="35"/>
      <c r="N53" s="35"/>
    </row>
    <row r="54" spans="2:14" ht="19" x14ac:dyDescent="0.2">
      <c r="B54" s="576" t="s">
        <v>513</v>
      </c>
      <c r="C54" s="94" t="s">
        <v>315</v>
      </c>
      <c r="D54" s="808">
        <f>D35*D33</f>
        <v>8139801.6000000006</v>
      </c>
      <c r="E54"/>
      <c r="F54"/>
      <c r="G54"/>
      <c r="M54" s="35"/>
      <c r="N54" s="35"/>
    </row>
    <row r="55" spans="2:14" ht="19" x14ac:dyDescent="0.2">
      <c r="B55" s="576" t="s">
        <v>515</v>
      </c>
      <c r="C55" s="94" t="s">
        <v>315</v>
      </c>
      <c r="D55" s="809">
        <v>0</v>
      </c>
      <c r="E55"/>
      <c r="F55"/>
      <c r="G55"/>
      <c r="M55" s="35"/>
      <c r="N55" s="35"/>
    </row>
    <row r="56" spans="2:14" ht="19" x14ac:dyDescent="0.2">
      <c r="B56" s="576" t="s">
        <v>517</v>
      </c>
      <c r="C56" s="94" t="s">
        <v>315</v>
      </c>
      <c r="D56" s="807">
        <f>C68*D60*(1-D38-(D37*D58))+(C69*D61)</f>
        <v>2860.9435505279998</v>
      </c>
      <c r="E56"/>
      <c r="F56"/>
      <c r="G56"/>
      <c r="M56" s="35"/>
      <c r="N56" s="35"/>
    </row>
    <row r="57" spans="2:14" ht="36" x14ac:dyDescent="0.2">
      <c r="B57" s="576" t="s">
        <v>518</v>
      </c>
      <c r="C57" s="94" t="s">
        <v>315</v>
      </c>
      <c r="D57" s="807">
        <v>0</v>
      </c>
      <c r="E57"/>
      <c r="F57"/>
      <c r="G57"/>
      <c r="M57" s="35"/>
      <c r="N57" s="35"/>
    </row>
    <row r="58" spans="2:14" ht="19" x14ac:dyDescent="0.2">
      <c r="B58" s="576" t="s">
        <v>519</v>
      </c>
      <c r="C58" s="94"/>
      <c r="D58" s="809">
        <v>0.8</v>
      </c>
      <c r="E58"/>
      <c r="F58"/>
      <c r="G58"/>
      <c r="M58" s="35"/>
      <c r="N58" s="35"/>
    </row>
    <row r="59" spans="2:14" ht="23.25" customHeight="1" x14ac:dyDescent="0.2">
      <c r="B59" s="576" t="s">
        <v>520</v>
      </c>
      <c r="C59" s="94" t="s">
        <v>521</v>
      </c>
      <c r="D59" s="809">
        <v>0.89</v>
      </c>
      <c r="E59"/>
      <c r="F59"/>
      <c r="G59"/>
      <c r="M59" s="35"/>
      <c r="N59" s="35"/>
    </row>
    <row r="60" spans="2:14" ht="27.75" customHeight="1" x14ac:dyDescent="0.2">
      <c r="B60" s="796" t="s">
        <v>522</v>
      </c>
      <c r="C60" s="94" t="s">
        <v>523</v>
      </c>
      <c r="D60" s="807">
        <v>7.0000000000000001E-3</v>
      </c>
      <c r="E60"/>
      <c r="F60"/>
      <c r="G60"/>
      <c r="M60" s="35"/>
      <c r="N60" s="35"/>
    </row>
    <row r="61" spans="2:14" ht="19" x14ac:dyDescent="0.2">
      <c r="B61" s="796" t="s">
        <v>524</v>
      </c>
      <c r="C61" s="94" t="s">
        <v>523</v>
      </c>
      <c r="D61" s="807">
        <v>8.9999999999999993E-3</v>
      </c>
      <c r="E61"/>
      <c r="F61"/>
      <c r="G61"/>
      <c r="M61" s="35"/>
      <c r="N61" s="35"/>
    </row>
    <row r="62" spans="2:14" ht="19" x14ac:dyDescent="0.2">
      <c r="B62" s="796" t="s">
        <v>525</v>
      </c>
      <c r="C62" s="94" t="s">
        <v>526</v>
      </c>
      <c r="D62" s="810">
        <v>1.4</v>
      </c>
      <c r="F62" s="8"/>
      <c r="G62" s="166"/>
      <c r="M62" s="35"/>
      <c r="N62" s="35"/>
    </row>
    <row r="63" spans="2:14" ht="21.75" customHeight="1" thickBot="1" x14ac:dyDescent="0.25">
      <c r="B63" s="797" t="s">
        <v>527</v>
      </c>
      <c r="C63" s="811"/>
      <c r="D63" s="812">
        <v>0.16</v>
      </c>
      <c r="F63" s="8"/>
      <c r="M63" s="35"/>
      <c r="N63" s="35"/>
    </row>
    <row r="64" spans="2:14" ht="21.75" customHeight="1" thickBot="1" x14ac:dyDescent="0.25">
      <c r="B64" s="389"/>
      <c r="D64" s="390"/>
      <c r="F64" s="8"/>
      <c r="M64" s="35"/>
      <c r="N64" s="35"/>
    </row>
    <row r="65" spans="1:25" ht="21.75" customHeight="1" x14ac:dyDescent="0.2">
      <c r="B65" s="799" t="s">
        <v>507</v>
      </c>
      <c r="C65" s="801" t="s">
        <v>127</v>
      </c>
      <c r="D65" s="390"/>
      <c r="F65" s="8"/>
      <c r="M65" s="35"/>
      <c r="N65" s="35"/>
    </row>
    <row r="66" spans="1:25" ht="21.75" customHeight="1" x14ac:dyDescent="0.2">
      <c r="B66" s="813" t="s">
        <v>510</v>
      </c>
      <c r="C66" s="814">
        <f>D30*D59</f>
        <v>8.7220000000000013</v>
      </c>
      <c r="D66" s="390"/>
      <c r="F66" s="8"/>
      <c r="M66" s="35"/>
      <c r="N66" s="35"/>
    </row>
    <row r="67" spans="1:25" ht="21.75" customHeight="1" x14ac:dyDescent="0.2">
      <c r="B67" s="813" t="s">
        <v>512</v>
      </c>
      <c r="C67" s="814">
        <f>C66*D62</f>
        <v>12.210800000000001</v>
      </c>
      <c r="D67" s="390"/>
      <c r="F67" s="8"/>
      <c r="M67" s="35"/>
      <c r="N67" s="35"/>
    </row>
    <row r="68" spans="1:25" ht="21.75" customHeight="1" x14ac:dyDescent="0.2">
      <c r="B68" s="813" t="s">
        <v>514</v>
      </c>
      <c r="C68" s="814">
        <f>C67*D34</f>
        <v>739534.89120000007</v>
      </c>
      <c r="D68" s="390"/>
      <c r="F68" s="8"/>
      <c r="M68" s="35"/>
      <c r="N68" s="35"/>
    </row>
    <row r="69" spans="1:25" ht="21.75" customHeight="1" thickBot="1" x14ac:dyDescent="0.25">
      <c r="B69" s="815" t="s">
        <v>516</v>
      </c>
      <c r="C69" s="816">
        <f>(C66+C67)*D63*D34*D39</f>
        <v>202843.85587200001</v>
      </c>
      <c r="D69" s="390"/>
      <c r="F69" s="8"/>
      <c r="M69" s="35"/>
      <c r="N69" s="35"/>
    </row>
    <row r="70" spans="1:25" ht="21.75" customHeight="1" x14ac:dyDescent="0.2">
      <c r="B70" s="389"/>
      <c r="D70" s="390"/>
      <c r="F70" s="8"/>
      <c r="M70" s="35"/>
      <c r="N70" s="35"/>
    </row>
    <row r="71" spans="1:25" s="317" customFormat="1" ht="19" x14ac:dyDescent="0.2">
      <c r="A71" s="336">
        <v>3</v>
      </c>
      <c r="B71" s="377" t="s">
        <v>860</v>
      </c>
      <c r="C71" s="318"/>
      <c r="D71" s="318"/>
      <c r="E71" s="318"/>
      <c r="F71" s="318"/>
      <c r="G71" s="319"/>
      <c r="H71" s="320"/>
      <c r="I71" s="321"/>
      <c r="J71" s="322"/>
      <c r="K71" s="322"/>
      <c r="L71" s="321"/>
      <c r="M71" s="322"/>
      <c r="N71" s="323"/>
      <c r="O71" s="323"/>
      <c r="P71" s="323"/>
      <c r="Q71" s="323"/>
      <c r="R71" s="323"/>
      <c r="S71" s="323"/>
      <c r="T71" s="323"/>
      <c r="U71" s="323"/>
      <c r="V71" s="323"/>
      <c r="W71" s="323"/>
      <c r="X71" s="323"/>
      <c r="Y71" s="323"/>
    </row>
    <row r="72" spans="1:25" customFormat="1" ht="23.25" customHeight="1" x14ac:dyDescent="0.2">
      <c r="A72" s="1"/>
      <c r="B72" s="417" t="s">
        <v>851</v>
      </c>
      <c r="C72" s="417"/>
      <c r="D72" s="417"/>
      <c r="E72" s="417"/>
      <c r="F72" s="417"/>
      <c r="O72" s="18"/>
      <c r="P72" s="24"/>
    </row>
    <row r="73" spans="1:25" s="2" customFormat="1" ht="24.75" customHeight="1" thickBot="1" x14ac:dyDescent="0.25">
      <c r="A73" s="418"/>
      <c r="B73" s="417" t="s">
        <v>805</v>
      </c>
      <c r="O73" s="418"/>
    </row>
    <row r="74" spans="1:25" ht="23.25" customHeight="1" thickBot="1" x14ac:dyDescent="0.25">
      <c r="B74" s="537" t="s">
        <v>627</v>
      </c>
      <c r="C74" s="831"/>
      <c r="D74" s="831"/>
      <c r="E74" s="831"/>
      <c r="F74" s="831"/>
      <c r="G74" s="831"/>
      <c r="H74" s="831"/>
      <c r="I74" s="831"/>
      <c r="J74" s="831"/>
      <c r="K74" s="831"/>
      <c r="L74" s="831"/>
      <c r="M74" s="831"/>
      <c r="N74" s="831"/>
      <c r="O74" s="831"/>
      <c r="P74" s="831"/>
      <c r="Q74" s="831"/>
      <c r="R74" s="831"/>
      <c r="S74" s="831"/>
      <c r="T74" s="831"/>
      <c r="U74" s="831"/>
      <c r="V74" s="831"/>
      <c r="W74" s="831"/>
      <c r="X74" s="831"/>
      <c r="Y74" s="832"/>
    </row>
    <row r="75" spans="1:25" customFormat="1" ht="23.25" customHeight="1" thickBot="1" x14ac:dyDescent="0.25"/>
    <row r="76" spans="1:25" ht="17" x14ac:dyDescent="0.2">
      <c r="B76" s="833"/>
      <c r="C76" s="546" t="s">
        <v>126</v>
      </c>
      <c r="D76" s="547" t="s">
        <v>120</v>
      </c>
      <c r="E76" s="546" t="s">
        <v>146</v>
      </c>
      <c r="F76" s="547" t="s">
        <v>147</v>
      </c>
      <c r="G76" s="547" t="s">
        <v>148</v>
      </c>
      <c r="H76" s="547" t="s">
        <v>149</v>
      </c>
      <c r="I76" s="547" t="s">
        <v>150</v>
      </c>
      <c r="J76" s="547" t="s">
        <v>151</v>
      </c>
      <c r="K76" s="547" t="s">
        <v>152</v>
      </c>
      <c r="L76" s="547" t="s">
        <v>153</v>
      </c>
      <c r="M76" s="547" t="s">
        <v>154</v>
      </c>
      <c r="N76" s="547" t="s">
        <v>121</v>
      </c>
      <c r="O76" s="547" t="s">
        <v>403</v>
      </c>
      <c r="P76" s="547" t="s">
        <v>404</v>
      </c>
      <c r="Q76" s="547" t="s">
        <v>405</v>
      </c>
      <c r="R76" s="547" t="s">
        <v>406</v>
      </c>
      <c r="S76" s="547" t="s">
        <v>407</v>
      </c>
      <c r="T76" s="547" t="s">
        <v>408</v>
      </c>
      <c r="U76" s="547" t="s">
        <v>409</v>
      </c>
      <c r="V76" s="547" t="s">
        <v>410</v>
      </c>
      <c r="W76" s="547" t="s">
        <v>411</v>
      </c>
      <c r="X76" s="547" t="s">
        <v>412</v>
      </c>
      <c r="Y76" s="548" t="s">
        <v>528</v>
      </c>
    </row>
    <row r="77" spans="1:25" ht="19" x14ac:dyDescent="0.2">
      <c r="B77" s="834" t="s">
        <v>529</v>
      </c>
      <c r="C77" s="102"/>
      <c r="D77" s="103"/>
      <c r="E77" s="103"/>
      <c r="F77" s="103"/>
      <c r="G77" s="103"/>
      <c r="H77" s="103"/>
      <c r="I77" s="103"/>
      <c r="J77" s="103"/>
      <c r="K77" s="103"/>
      <c r="L77" s="103"/>
      <c r="M77" s="103"/>
      <c r="N77" s="103"/>
      <c r="O77" s="103"/>
      <c r="P77" s="103"/>
      <c r="Q77" s="103"/>
      <c r="R77" s="103"/>
      <c r="S77" s="103"/>
      <c r="T77" s="103"/>
      <c r="U77" s="103"/>
      <c r="V77" s="103"/>
      <c r="W77" s="103"/>
      <c r="X77" s="103"/>
      <c r="Y77" s="835"/>
    </row>
    <row r="78" spans="1:25" ht="20.25" customHeight="1" x14ac:dyDescent="0.2">
      <c r="B78" s="551" t="s">
        <v>530</v>
      </c>
      <c r="C78" s="276" t="s">
        <v>488</v>
      </c>
      <c r="D78" s="145">
        <f t="shared" ref="D78:X78" si="0">$D$34</f>
        <v>60564</v>
      </c>
      <c r="E78" s="145">
        <f t="shared" si="0"/>
        <v>60564</v>
      </c>
      <c r="F78" s="145">
        <f t="shared" si="0"/>
        <v>60564</v>
      </c>
      <c r="G78" s="145">
        <f t="shared" si="0"/>
        <v>60564</v>
      </c>
      <c r="H78" s="145">
        <f t="shared" si="0"/>
        <v>60564</v>
      </c>
      <c r="I78" s="145">
        <f t="shared" si="0"/>
        <v>60564</v>
      </c>
      <c r="J78" s="145">
        <f t="shared" si="0"/>
        <v>60564</v>
      </c>
      <c r="K78" s="145">
        <f t="shared" si="0"/>
        <v>60564</v>
      </c>
      <c r="L78" s="145">
        <f t="shared" si="0"/>
        <v>60564</v>
      </c>
      <c r="M78" s="145">
        <f t="shared" si="0"/>
        <v>60564</v>
      </c>
      <c r="N78" s="145">
        <f t="shared" si="0"/>
        <v>60564</v>
      </c>
      <c r="O78" s="145">
        <f t="shared" si="0"/>
        <v>60564</v>
      </c>
      <c r="P78" s="145">
        <f t="shared" si="0"/>
        <v>60564</v>
      </c>
      <c r="Q78" s="145">
        <f t="shared" si="0"/>
        <v>60564</v>
      </c>
      <c r="R78" s="145">
        <f t="shared" si="0"/>
        <v>60564</v>
      </c>
      <c r="S78" s="145">
        <f t="shared" si="0"/>
        <v>60564</v>
      </c>
      <c r="T78" s="145">
        <f t="shared" si="0"/>
        <v>60564</v>
      </c>
      <c r="U78" s="145">
        <f t="shared" si="0"/>
        <v>60564</v>
      </c>
      <c r="V78" s="145">
        <f t="shared" si="0"/>
        <v>60564</v>
      </c>
      <c r="W78" s="145">
        <f t="shared" si="0"/>
        <v>60564</v>
      </c>
      <c r="X78" s="145">
        <f t="shared" si="0"/>
        <v>60564</v>
      </c>
      <c r="Y78" s="822" t="s">
        <v>531</v>
      </c>
    </row>
    <row r="79" spans="1:25" ht="19" x14ac:dyDescent="0.2">
      <c r="B79" s="551" t="s">
        <v>532</v>
      </c>
      <c r="C79" s="146" t="s">
        <v>533</v>
      </c>
      <c r="D79" s="145">
        <f t="shared" ref="D79:X79" si="1">$D$42*$D$44*$D$46*$D$48</f>
        <v>0.85</v>
      </c>
      <c r="E79" s="145">
        <f t="shared" si="1"/>
        <v>0.85</v>
      </c>
      <c r="F79" s="153">
        <f t="shared" si="1"/>
        <v>0.85</v>
      </c>
      <c r="G79" s="145">
        <f t="shared" si="1"/>
        <v>0.85</v>
      </c>
      <c r="H79" s="145">
        <f t="shared" si="1"/>
        <v>0.85</v>
      </c>
      <c r="I79" s="145">
        <f t="shared" si="1"/>
        <v>0.85</v>
      </c>
      <c r="J79" s="145">
        <f t="shared" si="1"/>
        <v>0.85</v>
      </c>
      <c r="K79" s="145">
        <f t="shared" si="1"/>
        <v>0.85</v>
      </c>
      <c r="L79" s="145">
        <f t="shared" si="1"/>
        <v>0.85</v>
      </c>
      <c r="M79" s="145">
        <f t="shared" si="1"/>
        <v>0.85</v>
      </c>
      <c r="N79" s="145">
        <f t="shared" si="1"/>
        <v>0.85</v>
      </c>
      <c r="O79" s="145">
        <f t="shared" si="1"/>
        <v>0.85</v>
      </c>
      <c r="P79" s="145">
        <f t="shared" si="1"/>
        <v>0.85</v>
      </c>
      <c r="Q79" s="145">
        <f t="shared" si="1"/>
        <v>0.85</v>
      </c>
      <c r="R79" s="145">
        <f t="shared" si="1"/>
        <v>0.85</v>
      </c>
      <c r="S79" s="145">
        <f t="shared" si="1"/>
        <v>0.85</v>
      </c>
      <c r="T79" s="145">
        <f t="shared" si="1"/>
        <v>0.85</v>
      </c>
      <c r="U79" s="145">
        <f t="shared" si="1"/>
        <v>0.85</v>
      </c>
      <c r="V79" s="145">
        <f t="shared" si="1"/>
        <v>0.85</v>
      </c>
      <c r="W79" s="145">
        <f t="shared" si="1"/>
        <v>0.85</v>
      </c>
      <c r="X79" s="145">
        <f t="shared" si="1"/>
        <v>0.85</v>
      </c>
      <c r="Y79" s="822"/>
    </row>
    <row r="80" spans="1:25" ht="19" x14ac:dyDescent="0.2">
      <c r="B80" s="551" t="s">
        <v>534</v>
      </c>
      <c r="C80" s="146" t="s">
        <v>161</v>
      </c>
      <c r="D80" s="145">
        <f t="shared" ref="D80:O80" si="2">D79*$D$31*D78*10^-6</f>
        <v>5.7656927999999992</v>
      </c>
      <c r="E80" s="145">
        <f t="shared" si="2"/>
        <v>5.7656927999999992</v>
      </c>
      <c r="F80" s="153">
        <f t="shared" si="2"/>
        <v>5.7656927999999992</v>
      </c>
      <c r="G80" s="145">
        <f t="shared" si="2"/>
        <v>5.7656927999999992</v>
      </c>
      <c r="H80" s="145">
        <f t="shared" si="2"/>
        <v>5.7656927999999992</v>
      </c>
      <c r="I80" s="145">
        <f t="shared" si="2"/>
        <v>5.7656927999999992</v>
      </c>
      <c r="J80" s="145">
        <f t="shared" si="2"/>
        <v>5.7656927999999992</v>
      </c>
      <c r="K80" s="145">
        <f t="shared" si="2"/>
        <v>5.7656927999999992</v>
      </c>
      <c r="L80" s="145">
        <f t="shared" si="2"/>
        <v>5.7656927999999992</v>
      </c>
      <c r="M80" s="145">
        <f t="shared" si="2"/>
        <v>5.7656927999999992</v>
      </c>
      <c r="N80" s="145">
        <f t="shared" si="2"/>
        <v>5.7656927999999992</v>
      </c>
      <c r="O80" s="145">
        <f t="shared" si="2"/>
        <v>5.7656927999999992</v>
      </c>
      <c r="P80" s="145">
        <f t="shared" ref="P80:X80" si="3">P79*$D$31*P78*10^-6</f>
        <v>5.7656927999999992</v>
      </c>
      <c r="Q80" s="145">
        <f t="shared" si="3"/>
        <v>5.7656927999999992</v>
      </c>
      <c r="R80" s="145">
        <f t="shared" si="3"/>
        <v>5.7656927999999992</v>
      </c>
      <c r="S80" s="145">
        <f t="shared" si="3"/>
        <v>5.7656927999999992</v>
      </c>
      <c r="T80" s="145">
        <f t="shared" si="3"/>
        <v>5.7656927999999992</v>
      </c>
      <c r="U80" s="145">
        <f t="shared" si="3"/>
        <v>5.7656927999999992</v>
      </c>
      <c r="V80" s="145">
        <f t="shared" si="3"/>
        <v>5.7656927999999992</v>
      </c>
      <c r="W80" s="145">
        <f t="shared" si="3"/>
        <v>5.7656927999999992</v>
      </c>
      <c r="X80" s="145">
        <f t="shared" si="3"/>
        <v>5.7656927999999992</v>
      </c>
      <c r="Y80" s="822"/>
    </row>
    <row r="81" spans="1:25" ht="19" x14ac:dyDescent="0.2">
      <c r="B81" s="569" t="s">
        <v>535</v>
      </c>
      <c r="C81" s="149" t="s">
        <v>164</v>
      </c>
      <c r="D81" s="150">
        <f>D80*28</f>
        <v>161.43939839999999</v>
      </c>
      <c r="E81" s="150">
        <f t="shared" ref="E81:X81" si="4">E80*28</f>
        <v>161.43939839999999</v>
      </c>
      <c r="F81" s="150">
        <f t="shared" si="4"/>
        <v>161.43939839999999</v>
      </c>
      <c r="G81" s="150">
        <f t="shared" si="4"/>
        <v>161.43939839999999</v>
      </c>
      <c r="H81" s="150">
        <f t="shared" si="4"/>
        <v>161.43939839999999</v>
      </c>
      <c r="I81" s="150">
        <f t="shared" si="4"/>
        <v>161.43939839999999</v>
      </c>
      <c r="J81" s="150">
        <f t="shared" si="4"/>
        <v>161.43939839999999</v>
      </c>
      <c r="K81" s="150">
        <f t="shared" si="4"/>
        <v>161.43939839999999</v>
      </c>
      <c r="L81" s="150">
        <f t="shared" si="4"/>
        <v>161.43939839999999</v>
      </c>
      <c r="M81" s="150">
        <f t="shared" si="4"/>
        <v>161.43939839999999</v>
      </c>
      <c r="N81" s="150">
        <f t="shared" si="4"/>
        <v>161.43939839999999</v>
      </c>
      <c r="O81" s="150">
        <f t="shared" si="4"/>
        <v>161.43939839999999</v>
      </c>
      <c r="P81" s="150">
        <f t="shared" si="4"/>
        <v>161.43939839999999</v>
      </c>
      <c r="Q81" s="150">
        <f t="shared" si="4"/>
        <v>161.43939839999999</v>
      </c>
      <c r="R81" s="150">
        <f t="shared" si="4"/>
        <v>161.43939839999999</v>
      </c>
      <c r="S81" s="150">
        <f t="shared" si="4"/>
        <v>161.43939839999999</v>
      </c>
      <c r="T81" s="150">
        <f t="shared" si="4"/>
        <v>161.43939839999999</v>
      </c>
      <c r="U81" s="150">
        <f t="shared" si="4"/>
        <v>161.43939839999999</v>
      </c>
      <c r="V81" s="150">
        <f t="shared" si="4"/>
        <v>161.43939839999999</v>
      </c>
      <c r="W81" s="150">
        <f t="shared" si="4"/>
        <v>161.43939839999999</v>
      </c>
      <c r="X81" s="150">
        <f t="shared" si="4"/>
        <v>161.43939839999999</v>
      </c>
      <c r="Y81" s="823"/>
    </row>
    <row r="82" spans="1:25" x14ac:dyDescent="0.2">
      <c r="B82" s="836"/>
      <c r="E82" s="8"/>
      <c r="F82" s="37"/>
      <c r="G82" s="8"/>
      <c r="H82" s="8"/>
      <c r="I82" s="8"/>
      <c r="J82" s="8"/>
      <c r="K82" s="8"/>
      <c r="L82" s="8"/>
      <c r="M82" s="8"/>
      <c r="N82" s="8"/>
      <c r="O82" s="8"/>
      <c r="P82" s="38"/>
      <c r="Q82" s="8"/>
      <c r="R82" s="8"/>
      <c r="S82" s="8"/>
      <c r="T82" s="8"/>
      <c r="U82" s="8"/>
      <c r="V82" s="8"/>
      <c r="W82" s="8"/>
      <c r="X82" s="8"/>
      <c r="Y82" s="837"/>
    </row>
    <row r="83" spans="1:25" ht="19" x14ac:dyDescent="0.2">
      <c r="B83" s="834" t="s">
        <v>536</v>
      </c>
      <c r="C83" s="102"/>
      <c r="D83" s="103"/>
      <c r="E83" s="103"/>
      <c r="F83" s="103"/>
      <c r="G83" s="103"/>
      <c r="H83" s="103"/>
      <c r="I83" s="103"/>
      <c r="J83" s="103"/>
      <c r="K83" s="103"/>
      <c r="L83" s="103"/>
      <c r="M83" s="103"/>
      <c r="N83" s="103"/>
      <c r="O83" s="103"/>
      <c r="P83" s="103"/>
      <c r="Q83" s="103"/>
      <c r="R83" s="103"/>
      <c r="S83" s="103"/>
      <c r="T83" s="103"/>
      <c r="U83" s="103"/>
      <c r="V83" s="103"/>
      <c r="W83" s="103"/>
      <c r="X83" s="103"/>
      <c r="Y83" s="835"/>
    </row>
    <row r="84" spans="1:25" ht="19" x14ac:dyDescent="0.2">
      <c r="B84" s="551" t="s">
        <v>537</v>
      </c>
      <c r="C84" s="276" t="s">
        <v>319</v>
      </c>
      <c r="D84" s="147">
        <f t="shared" ref="D84:X84" si="5">($D$54+$D$55+$D$56+$D$57)*$D$52</f>
        <v>24427.987630651587</v>
      </c>
      <c r="E84" s="147">
        <f t="shared" si="5"/>
        <v>24427.987630651587</v>
      </c>
      <c r="F84" s="161">
        <f t="shared" si="5"/>
        <v>24427.987630651587</v>
      </c>
      <c r="G84" s="147">
        <f t="shared" si="5"/>
        <v>24427.987630651587</v>
      </c>
      <c r="H84" s="147">
        <f t="shared" si="5"/>
        <v>24427.987630651587</v>
      </c>
      <c r="I84" s="147">
        <f t="shared" si="5"/>
        <v>24427.987630651587</v>
      </c>
      <c r="J84" s="147">
        <f t="shared" si="5"/>
        <v>24427.987630651587</v>
      </c>
      <c r="K84" s="147">
        <f t="shared" si="5"/>
        <v>24427.987630651587</v>
      </c>
      <c r="L84" s="147">
        <f t="shared" si="5"/>
        <v>24427.987630651587</v>
      </c>
      <c r="M84" s="147">
        <f t="shared" si="5"/>
        <v>24427.987630651587</v>
      </c>
      <c r="N84" s="147">
        <f t="shared" si="5"/>
        <v>24427.987630651587</v>
      </c>
      <c r="O84" s="147">
        <f t="shared" si="5"/>
        <v>24427.987630651587</v>
      </c>
      <c r="P84" s="147">
        <f t="shared" si="5"/>
        <v>24427.987630651587</v>
      </c>
      <c r="Q84" s="147">
        <f t="shared" si="5"/>
        <v>24427.987630651587</v>
      </c>
      <c r="R84" s="147">
        <f t="shared" si="5"/>
        <v>24427.987630651587</v>
      </c>
      <c r="S84" s="147">
        <f t="shared" si="5"/>
        <v>24427.987630651587</v>
      </c>
      <c r="T84" s="147">
        <f t="shared" si="5"/>
        <v>24427.987630651587</v>
      </c>
      <c r="U84" s="147">
        <f t="shared" si="5"/>
        <v>24427.987630651587</v>
      </c>
      <c r="V84" s="147">
        <f t="shared" si="5"/>
        <v>24427.987630651587</v>
      </c>
      <c r="W84" s="147">
        <f t="shared" si="5"/>
        <v>24427.987630651587</v>
      </c>
      <c r="X84" s="147">
        <f t="shared" si="5"/>
        <v>24427.987630651587</v>
      </c>
      <c r="Y84" s="838"/>
    </row>
    <row r="85" spans="1:25" ht="19" x14ac:dyDescent="0.2">
      <c r="B85" s="551" t="s">
        <v>538</v>
      </c>
      <c r="C85" s="146" t="s">
        <v>539</v>
      </c>
      <c r="D85" s="148">
        <f>D84*44/28</f>
        <v>38386.837705309634</v>
      </c>
      <c r="E85" s="148">
        <f>E84*44/28</f>
        <v>38386.837705309634</v>
      </c>
      <c r="F85" s="148">
        <f t="shared" ref="F85:N85" si="6">F84*44/28</f>
        <v>38386.837705309634</v>
      </c>
      <c r="G85" s="148">
        <f t="shared" si="6"/>
        <v>38386.837705309634</v>
      </c>
      <c r="H85" s="148">
        <f t="shared" si="6"/>
        <v>38386.837705309634</v>
      </c>
      <c r="I85" s="148">
        <f t="shared" si="6"/>
        <v>38386.837705309634</v>
      </c>
      <c r="J85" s="148">
        <f t="shared" si="6"/>
        <v>38386.837705309634</v>
      </c>
      <c r="K85" s="148">
        <f t="shared" si="6"/>
        <v>38386.837705309634</v>
      </c>
      <c r="L85" s="148">
        <f t="shared" si="6"/>
        <v>38386.837705309634</v>
      </c>
      <c r="M85" s="148">
        <f t="shared" si="6"/>
        <v>38386.837705309634</v>
      </c>
      <c r="N85" s="148">
        <f t="shared" si="6"/>
        <v>38386.837705309634</v>
      </c>
      <c r="O85" s="148">
        <f>O84*44/28</f>
        <v>38386.837705309634</v>
      </c>
      <c r="P85" s="148">
        <f t="shared" ref="P85:X85" si="7">P84*44/28</f>
        <v>38386.837705309634</v>
      </c>
      <c r="Q85" s="148">
        <f t="shared" si="7"/>
        <v>38386.837705309634</v>
      </c>
      <c r="R85" s="148">
        <f t="shared" si="7"/>
        <v>38386.837705309634</v>
      </c>
      <c r="S85" s="148">
        <f t="shared" si="7"/>
        <v>38386.837705309634</v>
      </c>
      <c r="T85" s="148">
        <f t="shared" si="7"/>
        <v>38386.837705309634</v>
      </c>
      <c r="U85" s="148">
        <f t="shared" si="7"/>
        <v>38386.837705309634</v>
      </c>
      <c r="V85" s="148">
        <f t="shared" si="7"/>
        <v>38386.837705309634</v>
      </c>
      <c r="W85" s="148">
        <f t="shared" si="7"/>
        <v>38386.837705309634</v>
      </c>
      <c r="X85" s="148">
        <f t="shared" si="7"/>
        <v>38386.837705309634</v>
      </c>
      <c r="Y85" s="839"/>
    </row>
    <row r="86" spans="1:25" ht="20" thickBot="1" x14ac:dyDescent="0.25">
      <c r="B86" s="552" t="s">
        <v>540</v>
      </c>
      <c r="C86" s="553" t="s">
        <v>164</v>
      </c>
      <c r="D86" s="567">
        <f>D85*265*10^-6</f>
        <v>10.172511991907053</v>
      </c>
      <c r="E86" s="567">
        <f t="shared" ref="E86:X86" si="8">E85*265*10^-6</f>
        <v>10.172511991907053</v>
      </c>
      <c r="F86" s="567">
        <f t="shared" si="8"/>
        <v>10.172511991907053</v>
      </c>
      <c r="G86" s="567">
        <f t="shared" si="8"/>
        <v>10.172511991907053</v>
      </c>
      <c r="H86" s="567">
        <f t="shared" si="8"/>
        <v>10.172511991907053</v>
      </c>
      <c r="I86" s="567">
        <f t="shared" si="8"/>
        <v>10.172511991907053</v>
      </c>
      <c r="J86" s="567">
        <f t="shared" si="8"/>
        <v>10.172511991907053</v>
      </c>
      <c r="K86" s="567">
        <f t="shared" si="8"/>
        <v>10.172511991907053</v>
      </c>
      <c r="L86" s="567">
        <f t="shared" si="8"/>
        <v>10.172511991907053</v>
      </c>
      <c r="M86" s="567">
        <f t="shared" si="8"/>
        <v>10.172511991907053</v>
      </c>
      <c r="N86" s="567">
        <f t="shared" si="8"/>
        <v>10.172511991907053</v>
      </c>
      <c r="O86" s="567">
        <f t="shared" si="8"/>
        <v>10.172511991907053</v>
      </c>
      <c r="P86" s="567">
        <f t="shared" si="8"/>
        <v>10.172511991907053</v>
      </c>
      <c r="Q86" s="567">
        <f t="shared" si="8"/>
        <v>10.172511991907053</v>
      </c>
      <c r="R86" s="567">
        <f t="shared" si="8"/>
        <v>10.172511991907053</v>
      </c>
      <c r="S86" s="567">
        <f t="shared" si="8"/>
        <v>10.172511991907053</v>
      </c>
      <c r="T86" s="567">
        <f t="shared" si="8"/>
        <v>10.172511991907053</v>
      </c>
      <c r="U86" s="567">
        <f t="shared" si="8"/>
        <v>10.172511991907053</v>
      </c>
      <c r="V86" s="567">
        <f t="shared" si="8"/>
        <v>10.172511991907053</v>
      </c>
      <c r="W86" s="567">
        <f t="shared" si="8"/>
        <v>10.172511991907053</v>
      </c>
      <c r="X86" s="567">
        <f t="shared" si="8"/>
        <v>10.172511991907053</v>
      </c>
      <c r="Y86" s="829"/>
    </row>
    <row r="87" spans="1:25" customFormat="1" ht="17" thickBot="1" x14ac:dyDescent="0.25"/>
    <row r="88" spans="1:25" ht="19" thickBot="1" x14ac:dyDescent="0.25">
      <c r="B88" s="817" t="s">
        <v>541</v>
      </c>
      <c r="C88" s="818" t="s">
        <v>164</v>
      </c>
      <c r="D88" s="819">
        <f>SUM(D81,D86)</f>
        <v>171.61191039190703</v>
      </c>
      <c r="E88" s="819">
        <f>SUM(E81,E86)</f>
        <v>171.61191039190703</v>
      </c>
      <c r="F88" s="819">
        <f t="shared" ref="F88:X88" si="9">SUM(F81,F86)</f>
        <v>171.61191039190703</v>
      </c>
      <c r="G88" s="819">
        <f t="shared" si="9"/>
        <v>171.61191039190703</v>
      </c>
      <c r="H88" s="819">
        <f t="shared" si="9"/>
        <v>171.61191039190703</v>
      </c>
      <c r="I88" s="819">
        <f t="shared" si="9"/>
        <v>171.61191039190703</v>
      </c>
      <c r="J88" s="819">
        <f t="shared" si="9"/>
        <v>171.61191039190703</v>
      </c>
      <c r="K88" s="819">
        <f t="shared" si="9"/>
        <v>171.61191039190703</v>
      </c>
      <c r="L88" s="819">
        <f t="shared" si="9"/>
        <v>171.61191039190703</v>
      </c>
      <c r="M88" s="819">
        <f t="shared" si="9"/>
        <v>171.61191039190703</v>
      </c>
      <c r="N88" s="819">
        <f t="shared" si="9"/>
        <v>171.61191039190703</v>
      </c>
      <c r="O88" s="819">
        <f t="shared" si="9"/>
        <v>171.61191039190703</v>
      </c>
      <c r="P88" s="819">
        <f t="shared" si="9"/>
        <v>171.61191039190703</v>
      </c>
      <c r="Q88" s="819">
        <f t="shared" si="9"/>
        <v>171.61191039190703</v>
      </c>
      <c r="R88" s="819">
        <f t="shared" si="9"/>
        <v>171.61191039190703</v>
      </c>
      <c r="S88" s="819">
        <f t="shared" si="9"/>
        <v>171.61191039190703</v>
      </c>
      <c r="T88" s="819">
        <f t="shared" si="9"/>
        <v>171.61191039190703</v>
      </c>
      <c r="U88" s="819">
        <f t="shared" si="9"/>
        <v>171.61191039190703</v>
      </c>
      <c r="V88" s="819">
        <f t="shared" si="9"/>
        <v>171.61191039190703</v>
      </c>
      <c r="W88" s="819">
        <f t="shared" si="9"/>
        <v>171.61191039190703</v>
      </c>
      <c r="X88" s="819">
        <f t="shared" si="9"/>
        <v>171.61191039190703</v>
      </c>
      <c r="Y88" s="820"/>
    </row>
    <row r="89" spans="1:25" x14ac:dyDescent="0.2">
      <c r="C89" s="37"/>
      <c r="D89" s="37"/>
      <c r="E89" s="37"/>
      <c r="F89" s="37"/>
      <c r="G89" s="37"/>
      <c r="H89" s="37"/>
      <c r="I89" s="37"/>
      <c r="J89" s="37"/>
      <c r="K89" s="37"/>
      <c r="L89" s="37"/>
      <c r="M89" s="37"/>
      <c r="N89" s="162"/>
      <c r="O89" s="162"/>
      <c r="P89" s="162"/>
      <c r="Q89" s="162"/>
      <c r="R89" s="162"/>
      <c r="S89" s="162"/>
      <c r="T89" s="162"/>
      <c r="U89" s="162"/>
      <c r="V89" s="162"/>
      <c r="W89" s="37"/>
      <c r="X89" s="8"/>
      <c r="Y89" s="17"/>
    </row>
    <row r="90" spans="1:25" s="317" customFormat="1" ht="18" x14ac:dyDescent="0.2">
      <c r="A90" s="336">
        <v>4</v>
      </c>
      <c r="B90" s="346" t="s">
        <v>861</v>
      </c>
      <c r="C90" s="346"/>
      <c r="D90" s="346"/>
      <c r="E90" s="318"/>
      <c r="F90" s="318"/>
      <c r="G90" s="319"/>
      <c r="H90" s="320"/>
      <c r="I90" s="321"/>
      <c r="J90" s="322"/>
      <c r="K90" s="322"/>
      <c r="L90" s="321"/>
      <c r="M90" s="322"/>
      <c r="N90" s="323"/>
      <c r="O90" s="323"/>
      <c r="P90" s="323"/>
      <c r="Q90" s="323"/>
      <c r="R90" s="323"/>
      <c r="S90" s="323"/>
      <c r="T90" s="323"/>
      <c r="U90" s="323"/>
      <c r="V90" s="323"/>
      <c r="W90" s="323"/>
      <c r="X90" s="323"/>
      <c r="Y90" s="323"/>
    </row>
    <row r="91" spans="1:25" customFormat="1" ht="23.25" customHeight="1" x14ac:dyDescent="0.2">
      <c r="A91" s="1"/>
      <c r="B91" s="417" t="s">
        <v>852</v>
      </c>
      <c r="C91" s="417"/>
      <c r="D91" s="417"/>
      <c r="E91" s="417"/>
      <c r="F91" s="417"/>
      <c r="O91" s="18"/>
      <c r="P91" s="24"/>
    </row>
    <row r="92" spans="1:25" s="2" customFormat="1" ht="24.75" customHeight="1" thickBot="1" x14ac:dyDescent="0.25">
      <c r="A92" s="418"/>
      <c r="B92" s="417" t="s">
        <v>806</v>
      </c>
      <c r="O92" s="418"/>
    </row>
    <row r="93" spans="1:25" ht="18" thickBot="1" x14ac:dyDescent="0.25">
      <c r="B93" s="830" t="s">
        <v>423</v>
      </c>
      <c r="C93" s="831"/>
      <c r="D93" s="831"/>
      <c r="E93" s="831"/>
      <c r="F93" s="831"/>
      <c r="G93" s="831"/>
      <c r="H93" s="831"/>
      <c r="I93" s="831"/>
      <c r="J93" s="831"/>
      <c r="K93" s="831"/>
      <c r="L93" s="831"/>
      <c r="M93" s="831"/>
      <c r="N93" s="831"/>
      <c r="O93" s="831"/>
      <c r="P93" s="831"/>
      <c r="Q93" s="831"/>
      <c r="R93" s="831"/>
      <c r="S93" s="831"/>
      <c r="T93" s="831"/>
      <c r="U93" s="831"/>
      <c r="V93" s="831"/>
      <c r="W93" s="831"/>
      <c r="X93" s="831"/>
      <c r="Y93" s="832"/>
    </row>
    <row r="94" spans="1:25" customFormat="1" ht="17" thickBot="1" x14ac:dyDescent="0.25"/>
    <row r="95" spans="1:25" ht="17" x14ac:dyDescent="0.2">
      <c r="B95" s="833"/>
      <c r="C95" s="546" t="s">
        <v>126</v>
      </c>
      <c r="D95" s="547" t="s">
        <v>120</v>
      </c>
      <c r="E95" s="546" t="s">
        <v>146</v>
      </c>
      <c r="F95" s="547" t="s">
        <v>147</v>
      </c>
      <c r="G95" s="547" t="s">
        <v>148</v>
      </c>
      <c r="H95" s="547" t="s">
        <v>149</v>
      </c>
      <c r="I95" s="547" t="s">
        <v>150</v>
      </c>
      <c r="J95" s="547" t="s">
        <v>151</v>
      </c>
      <c r="K95" s="547" t="s">
        <v>152</v>
      </c>
      <c r="L95" s="547" t="s">
        <v>153</v>
      </c>
      <c r="M95" s="547" t="s">
        <v>154</v>
      </c>
      <c r="N95" s="547" t="s">
        <v>121</v>
      </c>
      <c r="O95" s="547" t="s">
        <v>403</v>
      </c>
      <c r="P95" s="547" t="s">
        <v>404</v>
      </c>
      <c r="Q95" s="547" t="s">
        <v>405</v>
      </c>
      <c r="R95" s="547" t="s">
        <v>406</v>
      </c>
      <c r="S95" s="547" t="s">
        <v>407</v>
      </c>
      <c r="T95" s="547" t="s">
        <v>408</v>
      </c>
      <c r="U95" s="547" t="s">
        <v>409</v>
      </c>
      <c r="V95" s="547" t="s">
        <v>410</v>
      </c>
      <c r="W95" s="547" t="s">
        <v>411</v>
      </c>
      <c r="X95" s="547" t="s">
        <v>412</v>
      </c>
      <c r="Y95" s="548" t="s">
        <v>528</v>
      </c>
    </row>
    <row r="96" spans="1:25" ht="19" x14ac:dyDescent="0.2">
      <c r="B96" s="834" t="s">
        <v>529</v>
      </c>
      <c r="C96" s="102"/>
      <c r="D96" s="103"/>
      <c r="E96" s="103"/>
      <c r="F96" s="103"/>
      <c r="G96" s="103"/>
      <c r="H96" s="103"/>
      <c r="I96" s="103"/>
      <c r="J96" s="103"/>
      <c r="K96" s="103"/>
      <c r="L96" s="103"/>
      <c r="M96" s="103"/>
      <c r="N96" s="103"/>
      <c r="O96" s="103"/>
      <c r="P96" s="103"/>
      <c r="Q96" s="103"/>
      <c r="R96" s="103"/>
      <c r="S96" s="103"/>
      <c r="T96" s="103"/>
      <c r="U96" s="103"/>
      <c r="V96" s="103"/>
      <c r="W96" s="103"/>
      <c r="X96" s="103"/>
      <c r="Y96" s="835"/>
    </row>
    <row r="97" spans="1:25" ht="65.25" customHeight="1" x14ac:dyDescent="0.2">
      <c r="A97" s="27"/>
      <c r="B97" s="551" t="s">
        <v>542</v>
      </c>
      <c r="C97" s="276" t="s">
        <v>488</v>
      </c>
      <c r="D97" s="145">
        <f t="shared" ref="D97:N97" si="10">$D$34-0*($D$34)</f>
        <v>60564</v>
      </c>
      <c r="E97" s="145">
        <f t="shared" si="10"/>
        <v>60564</v>
      </c>
      <c r="F97" s="145">
        <f t="shared" si="10"/>
        <v>60564</v>
      </c>
      <c r="G97" s="145">
        <f t="shared" si="10"/>
        <v>60564</v>
      </c>
      <c r="H97" s="145">
        <f t="shared" si="10"/>
        <v>60564</v>
      </c>
      <c r="I97" s="145">
        <f t="shared" si="10"/>
        <v>60564</v>
      </c>
      <c r="J97" s="145">
        <f t="shared" si="10"/>
        <v>60564</v>
      </c>
      <c r="K97" s="145">
        <f t="shared" si="10"/>
        <v>60564</v>
      </c>
      <c r="L97" s="145">
        <f t="shared" si="10"/>
        <v>60564</v>
      </c>
      <c r="M97" s="145">
        <f t="shared" si="10"/>
        <v>60564</v>
      </c>
      <c r="N97" s="145">
        <f t="shared" si="10"/>
        <v>60564</v>
      </c>
      <c r="O97" s="145">
        <f>$D$34-0.02*($D$34)</f>
        <v>59352.72</v>
      </c>
      <c r="P97" s="153">
        <f>O97-0.02*($D$34)</f>
        <v>58141.440000000002</v>
      </c>
      <c r="Q97" s="153">
        <f t="shared" ref="Q97:X97" si="11">P97-0.02*($D$34)</f>
        <v>56930.16</v>
      </c>
      <c r="R97" s="153">
        <f t="shared" si="11"/>
        <v>55718.880000000005</v>
      </c>
      <c r="S97" s="153">
        <f t="shared" si="11"/>
        <v>54507.600000000006</v>
      </c>
      <c r="T97" s="153">
        <f t="shared" si="11"/>
        <v>53296.320000000007</v>
      </c>
      <c r="U97" s="153">
        <f t="shared" si="11"/>
        <v>52085.040000000008</v>
      </c>
      <c r="V97" s="153">
        <f t="shared" si="11"/>
        <v>50873.760000000009</v>
      </c>
      <c r="W97" s="153">
        <f t="shared" si="11"/>
        <v>49662.48000000001</v>
      </c>
      <c r="X97" s="153">
        <f t="shared" si="11"/>
        <v>48451.200000000012</v>
      </c>
      <c r="Y97" s="821" t="s">
        <v>543</v>
      </c>
    </row>
    <row r="98" spans="1:25" ht="39" customHeight="1" x14ac:dyDescent="0.2">
      <c r="B98" s="551" t="s">
        <v>532</v>
      </c>
      <c r="C98" s="146" t="s">
        <v>533</v>
      </c>
      <c r="D98" s="145">
        <f t="shared" ref="D98:X98" si="12">$D$42*$D$44*$D$46*$D$48</f>
        <v>0.85</v>
      </c>
      <c r="E98" s="145">
        <f t="shared" si="12"/>
        <v>0.85</v>
      </c>
      <c r="F98" s="153">
        <f t="shared" si="12"/>
        <v>0.85</v>
      </c>
      <c r="G98" s="145">
        <f t="shared" si="12"/>
        <v>0.85</v>
      </c>
      <c r="H98" s="145">
        <f t="shared" si="12"/>
        <v>0.85</v>
      </c>
      <c r="I98" s="145">
        <f t="shared" si="12"/>
        <v>0.85</v>
      </c>
      <c r="J98" s="145">
        <f t="shared" si="12"/>
        <v>0.85</v>
      </c>
      <c r="K98" s="145">
        <f t="shared" si="12"/>
        <v>0.85</v>
      </c>
      <c r="L98" s="145">
        <f t="shared" si="12"/>
        <v>0.85</v>
      </c>
      <c r="M98" s="145">
        <f t="shared" si="12"/>
        <v>0.85</v>
      </c>
      <c r="N98" s="145">
        <f t="shared" si="12"/>
        <v>0.85</v>
      </c>
      <c r="O98" s="145">
        <f t="shared" si="12"/>
        <v>0.85</v>
      </c>
      <c r="P98" s="145">
        <f t="shared" si="12"/>
        <v>0.85</v>
      </c>
      <c r="Q98" s="145">
        <f t="shared" si="12"/>
        <v>0.85</v>
      </c>
      <c r="R98" s="145">
        <f t="shared" si="12"/>
        <v>0.85</v>
      </c>
      <c r="S98" s="145">
        <f t="shared" si="12"/>
        <v>0.85</v>
      </c>
      <c r="T98" s="145">
        <f t="shared" si="12"/>
        <v>0.85</v>
      </c>
      <c r="U98" s="145">
        <f t="shared" si="12"/>
        <v>0.85</v>
      </c>
      <c r="V98" s="145">
        <f t="shared" si="12"/>
        <v>0.85</v>
      </c>
      <c r="W98" s="145">
        <f t="shared" si="12"/>
        <v>0.85</v>
      </c>
      <c r="X98" s="145">
        <f t="shared" si="12"/>
        <v>0.85</v>
      </c>
      <c r="Y98" s="822"/>
    </row>
    <row r="99" spans="1:25" ht="27" customHeight="1" x14ac:dyDescent="0.2">
      <c r="B99" s="551" t="s">
        <v>544</v>
      </c>
      <c r="C99" s="146" t="s">
        <v>533</v>
      </c>
      <c r="D99" s="145">
        <f t="shared" ref="D99:X99" si="13">($D$43*$D$45*$D$46*$D$48)</f>
        <v>9.3499999999999986E-2</v>
      </c>
      <c r="E99" s="145">
        <f t="shared" si="13"/>
        <v>9.3499999999999986E-2</v>
      </c>
      <c r="F99" s="145">
        <f t="shared" si="13"/>
        <v>9.3499999999999986E-2</v>
      </c>
      <c r="G99" s="145">
        <f t="shared" si="13"/>
        <v>9.3499999999999986E-2</v>
      </c>
      <c r="H99" s="145">
        <f t="shared" si="13"/>
        <v>9.3499999999999986E-2</v>
      </c>
      <c r="I99" s="145">
        <f t="shared" si="13"/>
        <v>9.3499999999999986E-2</v>
      </c>
      <c r="J99" s="145">
        <f t="shared" si="13"/>
        <v>9.3499999999999986E-2</v>
      </c>
      <c r="K99" s="145">
        <f t="shared" si="13"/>
        <v>9.3499999999999986E-2</v>
      </c>
      <c r="L99" s="145">
        <f t="shared" si="13"/>
        <v>9.3499999999999986E-2</v>
      </c>
      <c r="M99" s="145">
        <f t="shared" si="13"/>
        <v>9.3499999999999986E-2</v>
      </c>
      <c r="N99" s="145">
        <f t="shared" si="13"/>
        <v>9.3499999999999986E-2</v>
      </c>
      <c r="O99" s="145">
        <f t="shared" si="13"/>
        <v>9.3499999999999986E-2</v>
      </c>
      <c r="P99" s="145">
        <f t="shared" si="13"/>
        <v>9.3499999999999986E-2</v>
      </c>
      <c r="Q99" s="145">
        <f t="shared" si="13"/>
        <v>9.3499999999999986E-2</v>
      </c>
      <c r="R99" s="145">
        <f t="shared" si="13"/>
        <v>9.3499999999999986E-2</v>
      </c>
      <c r="S99" s="145">
        <f t="shared" si="13"/>
        <v>9.3499999999999986E-2</v>
      </c>
      <c r="T99" s="145">
        <f t="shared" si="13"/>
        <v>9.3499999999999986E-2</v>
      </c>
      <c r="U99" s="145">
        <f t="shared" si="13"/>
        <v>9.3499999999999986E-2</v>
      </c>
      <c r="V99" s="145">
        <f t="shared" si="13"/>
        <v>9.3499999999999986E-2</v>
      </c>
      <c r="W99" s="145">
        <f t="shared" si="13"/>
        <v>9.3499999999999986E-2</v>
      </c>
      <c r="X99" s="145">
        <f t="shared" si="13"/>
        <v>9.3499999999999986E-2</v>
      </c>
      <c r="Y99" s="822"/>
    </row>
    <row r="100" spans="1:25" ht="55.5" customHeight="1" x14ac:dyDescent="0.2">
      <c r="A100" s="27"/>
      <c r="B100" s="549" t="s">
        <v>545</v>
      </c>
      <c r="C100" s="276" t="s">
        <v>488</v>
      </c>
      <c r="D100" s="153">
        <f t="shared" ref="D100:X100" si="14">$D$34-D97</f>
        <v>0</v>
      </c>
      <c r="E100" s="153">
        <f t="shared" si="14"/>
        <v>0</v>
      </c>
      <c r="F100" s="153">
        <f t="shared" si="14"/>
        <v>0</v>
      </c>
      <c r="G100" s="153">
        <f t="shared" si="14"/>
        <v>0</v>
      </c>
      <c r="H100" s="153">
        <f t="shared" si="14"/>
        <v>0</v>
      </c>
      <c r="I100" s="153">
        <f t="shared" si="14"/>
        <v>0</v>
      </c>
      <c r="J100" s="153">
        <f t="shared" si="14"/>
        <v>0</v>
      </c>
      <c r="K100" s="153">
        <f t="shared" si="14"/>
        <v>0</v>
      </c>
      <c r="L100" s="153">
        <f t="shared" si="14"/>
        <v>0</v>
      </c>
      <c r="M100" s="153">
        <f t="shared" si="14"/>
        <v>0</v>
      </c>
      <c r="N100" s="153">
        <f t="shared" si="14"/>
        <v>0</v>
      </c>
      <c r="O100" s="153">
        <f t="shared" si="14"/>
        <v>1211.2799999999988</v>
      </c>
      <c r="P100" s="153">
        <f t="shared" si="14"/>
        <v>2422.5599999999977</v>
      </c>
      <c r="Q100" s="153">
        <f t="shared" si="14"/>
        <v>3633.8399999999965</v>
      </c>
      <c r="R100" s="153">
        <f t="shared" si="14"/>
        <v>4845.1199999999953</v>
      </c>
      <c r="S100" s="153">
        <f t="shared" si="14"/>
        <v>6056.3999999999942</v>
      </c>
      <c r="T100" s="153">
        <f t="shared" si="14"/>
        <v>7267.679999999993</v>
      </c>
      <c r="U100" s="153">
        <f t="shared" si="14"/>
        <v>8478.9599999999919</v>
      </c>
      <c r="V100" s="153">
        <f t="shared" si="14"/>
        <v>9690.2399999999907</v>
      </c>
      <c r="W100" s="153">
        <f t="shared" si="14"/>
        <v>10901.51999999999</v>
      </c>
      <c r="X100" s="153">
        <f t="shared" si="14"/>
        <v>12112.799999999988</v>
      </c>
      <c r="Y100" s="821" t="s">
        <v>546</v>
      </c>
    </row>
    <row r="101" spans="1:25" ht="24.75" customHeight="1" x14ac:dyDescent="0.2">
      <c r="B101" s="551" t="s">
        <v>534</v>
      </c>
      <c r="C101" s="146" t="s">
        <v>161</v>
      </c>
      <c r="D101" s="153">
        <f t="shared" ref="D101:X101" si="15">((D98*$D$31*D97)+(D100*$D$31*D99))*10^-6</f>
        <v>5.7656927999999992</v>
      </c>
      <c r="E101" s="153">
        <f t="shared" si="15"/>
        <v>5.7656927999999992</v>
      </c>
      <c r="F101" s="153">
        <f t="shared" si="15"/>
        <v>5.7656927999999992</v>
      </c>
      <c r="G101" s="153">
        <f t="shared" si="15"/>
        <v>5.7656927999999992</v>
      </c>
      <c r="H101" s="153">
        <f t="shared" si="15"/>
        <v>5.7656927999999992</v>
      </c>
      <c r="I101" s="153">
        <f t="shared" si="15"/>
        <v>5.7656927999999992</v>
      </c>
      <c r="J101" s="153">
        <f t="shared" si="15"/>
        <v>5.7656927999999992</v>
      </c>
      <c r="K101" s="153">
        <f t="shared" si="15"/>
        <v>5.7656927999999992</v>
      </c>
      <c r="L101" s="153">
        <f t="shared" si="15"/>
        <v>5.7656927999999992</v>
      </c>
      <c r="M101" s="153">
        <f t="shared" si="15"/>
        <v>5.7656927999999992</v>
      </c>
      <c r="N101" s="153">
        <f t="shared" si="15"/>
        <v>5.7656927999999992</v>
      </c>
      <c r="O101" s="153">
        <f t="shared" si="15"/>
        <v>5.6630634681599998</v>
      </c>
      <c r="P101" s="153">
        <f t="shared" si="15"/>
        <v>5.5604341363200005</v>
      </c>
      <c r="Q101" s="153">
        <f t="shared" si="15"/>
        <v>5.4578048044800003</v>
      </c>
      <c r="R101" s="153">
        <f t="shared" si="15"/>
        <v>5.35517547264</v>
      </c>
      <c r="S101" s="153">
        <f t="shared" si="15"/>
        <v>5.2525461407999998</v>
      </c>
      <c r="T101" s="153">
        <f t="shared" si="15"/>
        <v>5.1499168089600005</v>
      </c>
      <c r="U101" s="153">
        <f t="shared" si="15"/>
        <v>5.0472874771200003</v>
      </c>
      <c r="V101" s="153">
        <f t="shared" si="15"/>
        <v>4.9446581452800018</v>
      </c>
      <c r="W101" s="153">
        <f t="shared" si="15"/>
        <v>4.8420288134400007</v>
      </c>
      <c r="X101" s="153">
        <f t="shared" si="15"/>
        <v>4.7393994816000014</v>
      </c>
      <c r="Y101" s="821"/>
    </row>
    <row r="102" spans="1:25" ht="19" x14ac:dyDescent="0.2">
      <c r="B102" s="569" t="s">
        <v>535</v>
      </c>
      <c r="C102" s="149" t="s">
        <v>164</v>
      </c>
      <c r="D102" s="150">
        <f>D101*28</f>
        <v>161.43939839999999</v>
      </c>
      <c r="E102" s="150">
        <f t="shared" ref="E102:X102" si="16">E101*28</f>
        <v>161.43939839999999</v>
      </c>
      <c r="F102" s="150">
        <f t="shared" si="16"/>
        <v>161.43939839999999</v>
      </c>
      <c r="G102" s="150">
        <f t="shared" si="16"/>
        <v>161.43939839999999</v>
      </c>
      <c r="H102" s="150">
        <f t="shared" si="16"/>
        <v>161.43939839999999</v>
      </c>
      <c r="I102" s="150">
        <f t="shared" si="16"/>
        <v>161.43939839999999</v>
      </c>
      <c r="J102" s="150">
        <f t="shared" si="16"/>
        <v>161.43939839999999</v>
      </c>
      <c r="K102" s="150">
        <f t="shared" si="16"/>
        <v>161.43939839999999</v>
      </c>
      <c r="L102" s="150">
        <f t="shared" si="16"/>
        <v>161.43939839999999</v>
      </c>
      <c r="M102" s="150">
        <f t="shared" si="16"/>
        <v>161.43939839999999</v>
      </c>
      <c r="N102" s="150">
        <f t="shared" si="16"/>
        <v>161.43939839999999</v>
      </c>
      <c r="O102" s="150">
        <f t="shared" si="16"/>
        <v>158.56577710848001</v>
      </c>
      <c r="P102" s="150">
        <f t="shared" si="16"/>
        <v>155.69215581696002</v>
      </c>
      <c r="Q102" s="150">
        <f t="shared" si="16"/>
        <v>152.81853452544001</v>
      </c>
      <c r="R102" s="150">
        <f t="shared" si="16"/>
        <v>149.94491323392</v>
      </c>
      <c r="S102" s="150">
        <f t="shared" si="16"/>
        <v>147.07129194239999</v>
      </c>
      <c r="T102" s="150">
        <f t="shared" si="16"/>
        <v>144.19767065088001</v>
      </c>
      <c r="U102" s="150">
        <f t="shared" si="16"/>
        <v>141.32404935936</v>
      </c>
      <c r="V102" s="150">
        <f t="shared" si="16"/>
        <v>138.45042806784005</v>
      </c>
      <c r="W102" s="150">
        <f t="shared" si="16"/>
        <v>135.57680677632001</v>
      </c>
      <c r="X102" s="150">
        <f t="shared" si="16"/>
        <v>132.70318548480003</v>
      </c>
      <c r="Y102" s="823"/>
    </row>
    <row r="103" spans="1:25" x14ac:dyDescent="0.2">
      <c r="B103" s="551"/>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824"/>
    </row>
    <row r="104" spans="1:25" ht="19" x14ac:dyDescent="0.2">
      <c r="B104" s="825" t="s">
        <v>536</v>
      </c>
      <c r="C104" s="151"/>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826"/>
    </row>
    <row r="105" spans="1:25" ht="49.5" customHeight="1" x14ac:dyDescent="0.2">
      <c r="B105" s="551" t="s">
        <v>547</v>
      </c>
      <c r="C105" s="276" t="s">
        <v>315</v>
      </c>
      <c r="D105" s="154">
        <f t="shared" ref="D105:N105" si="17">$D$54</f>
        <v>8139801.6000000006</v>
      </c>
      <c r="E105" s="154">
        <f t="shared" si="17"/>
        <v>8139801.6000000006</v>
      </c>
      <c r="F105" s="163">
        <f t="shared" si="17"/>
        <v>8139801.6000000006</v>
      </c>
      <c r="G105" s="154">
        <f t="shared" si="17"/>
        <v>8139801.6000000006</v>
      </c>
      <c r="H105" s="154">
        <f t="shared" si="17"/>
        <v>8139801.6000000006</v>
      </c>
      <c r="I105" s="154">
        <f t="shared" si="17"/>
        <v>8139801.6000000006</v>
      </c>
      <c r="J105" s="154">
        <f t="shared" si="17"/>
        <v>8139801.6000000006</v>
      </c>
      <c r="K105" s="154">
        <f t="shared" si="17"/>
        <v>8139801.6000000006</v>
      </c>
      <c r="L105" s="154">
        <f t="shared" si="17"/>
        <v>8139801.6000000006</v>
      </c>
      <c r="M105" s="154">
        <f t="shared" si="17"/>
        <v>8139801.6000000006</v>
      </c>
      <c r="N105" s="154">
        <f t="shared" si="17"/>
        <v>8139801.6000000006</v>
      </c>
      <c r="O105" s="161">
        <f>D54-D54*0.02</f>
        <v>7977005.5680000009</v>
      </c>
      <c r="P105" s="161">
        <f>O105-0.02*$D$54</f>
        <v>7814209.5360000012</v>
      </c>
      <c r="Q105" s="161">
        <f t="shared" ref="Q105:X105" si="18">P105-0.02*$D$54</f>
        <v>7651413.5040000016</v>
      </c>
      <c r="R105" s="161">
        <f t="shared" si="18"/>
        <v>7488617.4720000019</v>
      </c>
      <c r="S105" s="161">
        <f t="shared" si="18"/>
        <v>7325821.4400000023</v>
      </c>
      <c r="T105" s="161">
        <f t="shared" si="18"/>
        <v>7163025.4080000026</v>
      </c>
      <c r="U105" s="161">
        <f t="shared" si="18"/>
        <v>7000229.376000003</v>
      </c>
      <c r="V105" s="161">
        <f t="shared" si="18"/>
        <v>6837433.3440000033</v>
      </c>
      <c r="W105" s="161">
        <f t="shared" si="18"/>
        <v>6674637.3120000036</v>
      </c>
      <c r="X105" s="161">
        <f t="shared" si="18"/>
        <v>6511841.280000004</v>
      </c>
      <c r="Y105" s="821" t="s">
        <v>548</v>
      </c>
    </row>
    <row r="106" spans="1:25" ht="40.5" customHeight="1" x14ac:dyDescent="0.2">
      <c r="A106" s="27"/>
      <c r="B106" s="551" t="s">
        <v>549</v>
      </c>
      <c r="C106" s="276" t="s">
        <v>315</v>
      </c>
      <c r="D106" s="276">
        <v>0</v>
      </c>
      <c r="E106" s="276">
        <v>0</v>
      </c>
      <c r="F106" s="146">
        <v>0</v>
      </c>
      <c r="G106" s="276">
        <v>0</v>
      </c>
      <c r="H106" s="276">
        <v>0</v>
      </c>
      <c r="I106" s="276">
        <v>0</v>
      </c>
      <c r="J106" s="276">
        <v>0</v>
      </c>
      <c r="K106" s="276">
        <v>0</v>
      </c>
      <c r="L106" s="276">
        <v>0</v>
      </c>
      <c r="M106" s="276">
        <v>0</v>
      </c>
      <c r="N106" s="276">
        <v>0</v>
      </c>
      <c r="O106" s="161">
        <f>$D$54-O105</f>
        <v>162796.03199999966</v>
      </c>
      <c r="P106" s="161">
        <f t="shared" ref="P106:X106" si="19">$D$54-P105</f>
        <v>325592.06399999931</v>
      </c>
      <c r="Q106" s="161">
        <f t="shared" si="19"/>
        <v>488388.09599999897</v>
      </c>
      <c r="R106" s="161">
        <f t="shared" si="19"/>
        <v>651184.12799999863</v>
      </c>
      <c r="S106" s="161">
        <f t="shared" si="19"/>
        <v>813980.15999999829</v>
      </c>
      <c r="T106" s="161">
        <f t="shared" si="19"/>
        <v>976776.19199999794</v>
      </c>
      <c r="U106" s="161">
        <f t="shared" si="19"/>
        <v>1139572.2239999976</v>
      </c>
      <c r="V106" s="161">
        <f t="shared" si="19"/>
        <v>1302368.2559999973</v>
      </c>
      <c r="W106" s="161">
        <f t="shared" si="19"/>
        <v>1465164.2879999969</v>
      </c>
      <c r="X106" s="161">
        <f t="shared" si="19"/>
        <v>1627960.3199999966</v>
      </c>
      <c r="Y106" s="821" t="s">
        <v>546</v>
      </c>
    </row>
    <row r="107" spans="1:25" ht="19" x14ac:dyDescent="0.2">
      <c r="B107" s="549" t="s">
        <v>550</v>
      </c>
      <c r="C107" s="276" t="s">
        <v>319</v>
      </c>
      <c r="D107" s="145">
        <f t="shared" ref="D107:X107" si="20">((D105+$D$55+$D$56+$D$57)*$D$52)+((D106+$D$55+$D$56+$D$57)*$D$53)</f>
        <v>24442.292348404226</v>
      </c>
      <c r="E107" s="145">
        <f t="shared" si="20"/>
        <v>24442.292348404226</v>
      </c>
      <c r="F107" s="145">
        <f t="shared" si="20"/>
        <v>24442.292348404226</v>
      </c>
      <c r="G107" s="145">
        <f t="shared" si="20"/>
        <v>24442.292348404226</v>
      </c>
      <c r="H107" s="145">
        <f t="shared" si="20"/>
        <v>24442.292348404226</v>
      </c>
      <c r="I107" s="145">
        <f t="shared" si="20"/>
        <v>24442.292348404226</v>
      </c>
      <c r="J107" s="145">
        <f t="shared" si="20"/>
        <v>24442.292348404226</v>
      </c>
      <c r="K107" s="145">
        <f t="shared" si="20"/>
        <v>24442.292348404226</v>
      </c>
      <c r="L107" s="145">
        <f t="shared" si="20"/>
        <v>24442.292348404226</v>
      </c>
      <c r="M107" s="145">
        <f t="shared" si="20"/>
        <v>24442.292348404226</v>
      </c>
      <c r="N107" s="145">
        <f t="shared" si="20"/>
        <v>24442.292348404226</v>
      </c>
      <c r="O107" s="145">
        <f t="shared" si="20"/>
        <v>24767.884412404226</v>
      </c>
      <c r="P107" s="145">
        <f t="shared" si="20"/>
        <v>25093.476476404227</v>
      </c>
      <c r="Q107" s="145">
        <f t="shared" si="20"/>
        <v>25419.068540404227</v>
      </c>
      <c r="R107" s="145">
        <f t="shared" si="20"/>
        <v>25744.660604404227</v>
      </c>
      <c r="S107" s="145">
        <f t="shared" si="20"/>
        <v>26070.25266840422</v>
      </c>
      <c r="T107" s="145">
        <f t="shared" si="20"/>
        <v>26395.844732404221</v>
      </c>
      <c r="U107" s="145">
        <f t="shared" si="20"/>
        <v>26721.436796404221</v>
      </c>
      <c r="V107" s="145">
        <f t="shared" si="20"/>
        <v>27047.028860404222</v>
      </c>
      <c r="W107" s="145">
        <f t="shared" si="20"/>
        <v>27372.620924404218</v>
      </c>
      <c r="X107" s="145">
        <f t="shared" si="20"/>
        <v>27698.212988404219</v>
      </c>
      <c r="Y107" s="827"/>
    </row>
    <row r="108" spans="1:25" ht="19" x14ac:dyDescent="0.2">
      <c r="B108" s="551" t="s">
        <v>551</v>
      </c>
      <c r="C108" s="146" t="s">
        <v>539</v>
      </c>
      <c r="D108" s="153">
        <f>D107*44/28</f>
        <v>38409.316547492352</v>
      </c>
      <c r="E108" s="153">
        <f t="shared" ref="E108:X108" si="21">E107*44/28</f>
        <v>38409.316547492352</v>
      </c>
      <c r="F108" s="153">
        <f t="shared" si="21"/>
        <v>38409.316547492352</v>
      </c>
      <c r="G108" s="153">
        <f t="shared" si="21"/>
        <v>38409.316547492352</v>
      </c>
      <c r="H108" s="153">
        <f t="shared" si="21"/>
        <v>38409.316547492352</v>
      </c>
      <c r="I108" s="153">
        <f t="shared" si="21"/>
        <v>38409.316547492352</v>
      </c>
      <c r="J108" s="153">
        <f t="shared" si="21"/>
        <v>38409.316547492352</v>
      </c>
      <c r="K108" s="153">
        <f t="shared" si="21"/>
        <v>38409.316547492352</v>
      </c>
      <c r="L108" s="153">
        <f t="shared" si="21"/>
        <v>38409.316547492352</v>
      </c>
      <c r="M108" s="153">
        <f t="shared" si="21"/>
        <v>38409.316547492352</v>
      </c>
      <c r="N108" s="153">
        <f t="shared" si="21"/>
        <v>38409.316547492352</v>
      </c>
      <c r="O108" s="153">
        <f t="shared" si="21"/>
        <v>38920.961219492354</v>
      </c>
      <c r="P108" s="153">
        <f t="shared" si="21"/>
        <v>39432.605891492356</v>
      </c>
      <c r="Q108" s="153">
        <f t="shared" si="21"/>
        <v>39944.250563492358</v>
      </c>
      <c r="R108" s="153">
        <f t="shared" si="21"/>
        <v>40455.89523549236</v>
      </c>
      <c r="S108" s="153">
        <f t="shared" si="21"/>
        <v>40967.539907492348</v>
      </c>
      <c r="T108" s="153">
        <f t="shared" si="21"/>
        <v>41479.18457949235</v>
      </c>
      <c r="U108" s="153">
        <f t="shared" si="21"/>
        <v>41990.829251492345</v>
      </c>
      <c r="V108" s="153">
        <f t="shared" si="21"/>
        <v>42502.473923492347</v>
      </c>
      <c r="W108" s="153">
        <f t="shared" si="21"/>
        <v>43014.118595492342</v>
      </c>
      <c r="X108" s="153">
        <f t="shared" si="21"/>
        <v>43525.763267492344</v>
      </c>
      <c r="Y108" s="828"/>
    </row>
    <row r="109" spans="1:25" ht="20" thickBot="1" x14ac:dyDescent="0.25">
      <c r="B109" s="552" t="s">
        <v>540</v>
      </c>
      <c r="C109" s="553" t="s">
        <v>164</v>
      </c>
      <c r="D109" s="567">
        <f>D108*265*10^-6</f>
        <v>10.178468885085472</v>
      </c>
      <c r="E109" s="567">
        <f t="shared" ref="E109:X109" si="22">E108*265*10^-6</f>
        <v>10.178468885085472</v>
      </c>
      <c r="F109" s="567">
        <f t="shared" si="22"/>
        <v>10.178468885085472</v>
      </c>
      <c r="G109" s="567">
        <f t="shared" si="22"/>
        <v>10.178468885085472</v>
      </c>
      <c r="H109" s="567">
        <f t="shared" si="22"/>
        <v>10.178468885085472</v>
      </c>
      <c r="I109" s="567">
        <f t="shared" si="22"/>
        <v>10.178468885085472</v>
      </c>
      <c r="J109" s="567">
        <f t="shared" si="22"/>
        <v>10.178468885085472</v>
      </c>
      <c r="K109" s="567">
        <f t="shared" si="22"/>
        <v>10.178468885085472</v>
      </c>
      <c r="L109" s="567">
        <f t="shared" si="22"/>
        <v>10.178468885085472</v>
      </c>
      <c r="M109" s="567">
        <f t="shared" si="22"/>
        <v>10.178468885085472</v>
      </c>
      <c r="N109" s="567">
        <f t="shared" si="22"/>
        <v>10.178468885085472</v>
      </c>
      <c r="O109" s="567">
        <f t="shared" si="22"/>
        <v>10.314054723165473</v>
      </c>
      <c r="P109" s="567">
        <f t="shared" si="22"/>
        <v>10.449640561245474</v>
      </c>
      <c r="Q109" s="567">
        <f t="shared" si="22"/>
        <v>10.585226399325474</v>
      </c>
      <c r="R109" s="567">
        <f t="shared" si="22"/>
        <v>10.720812237405475</v>
      </c>
      <c r="S109" s="567">
        <f t="shared" si="22"/>
        <v>10.856398075485471</v>
      </c>
      <c r="T109" s="567">
        <f t="shared" si="22"/>
        <v>10.991983913565473</v>
      </c>
      <c r="U109" s="567">
        <f t="shared" si="22"/>
        <v>11.127569751645471</v>
      </c>
      <c r="V109" s="567">
        <f t="shared" si="22"/>
        <v>11.263155589725471</v>
      </c>
      <c r="W109" s="567">
        <f t="shared" si="22"/>
        <v>11.39874142780547</v>
      </c>
      <c r="X109" s="567">
        <f t="shared" si="22"/>
        <v>11.534327265885469</v>
      </c>
      <c r="Y109" s="829"/>
    </row>
    <row r="110" spans="1:25" customFormat="1" ht="17" thickBot="1" x14ac:dyDescent="0.25"/>
    <row r="111" spans="1:25" ht="19" thickBot="1" x14ac:dyDescent="0.25">
      <c r="B111" s="817" t="s">
        <v>552</v>
      </c>
      <c r="C111" s="818" t="s">
        <v>164</v>
      </c>
      <c r="D111" s="819">
        <f t="shared" ref="D111:X111" si="23">SUM(D102+D109)</f>
        <v>171.61786728508545</v>
      </c>
      <c r="E111" s="819">
        <f t="shared" si="23"/>
        <v>171.61786728508545</v>
      </c>
      <c r="F111" s="819">
        <f t="shared" si="23"/>
        <v>171.61786728508545</v>
      </c>
      <c r="G111" s="819">
        <f t="shared" si="23"/>
        <v>171.61786728508545</v>
      </c>
      <c r="H111" s="819">
        <f t="shared" si="23"/>
        <v>171.61786728508545</v>
      </c>
      <c r="I111" s="819">
        <f t="shared" si="23"/>
        <v>171.61786728508545</v>
      </c>
      <c r="J111" s="819">
        <f t="shared" si="23"/>
        <v>171.61786728508545</v>
      </c>
      <c r="K111" s="819">
        <f t="shared" si="23"/>
        <v>171.61786728508545</v>
      </c>
      <c r="L111" s="819">
        <f t="shared" si="23"/>
        <v>171.61786728508545</v>
      </c>
      <c r="M111" s="819">
        <f t="shared" si="23"/>
        <v>171.61786728508545</v>
      </c>
      <c r="N111" s="819">
        <f t="shared" si="23"/>
        <v>171.61786728508545</v>
      </c>
      <c r="O111" s="819">
        <f t="shared" si="23"/>
        <v>168.87983183164548</v>
      </c>
      <c r="P111" s="819">
        <f t="shared" si="23"/>
        <v>166.1417963782055</v>
      </c>
      <c r="Q111" s="819">
        <f t="shared" si="23"/>
        <v>163.40376092476549</v>
      </c>
      <c r="R111" s="819">
        <f t="shared" si="23"/>
        <v>160.66572547132549</v>
      </c>
      <c r="S111" s="819">
        <f t="shared" si="23"/>
        <v>157.92769001788545</v>
      </c>
      <c r="T111" s="819">
        <f t="shared" si="23"/>
        <v>155.18965456444548</v>
      </c>
      <c r="U111" s="819">
        <f t="shared" si="23"/>
        <v>152.45161911100547</v>
      </c>
      <c r="V111" s="819">
        <f t="shared" si="23"/>
        <v>149.71358365756552</v>
      </c>
      <c r="W111" s="819">
        <f t="shared" si="23"/>
        <v>146.97554820412549</v>
      </c>
      <c r="X111" s="819">
        <f t="shared" si="23"/>
        <v>144.23751275068551</v>
      </c>
      <c r="Y111" s="820"/>
    </row>
    <row r="112" spans="1:25" x14ac:dyDescent="0.2">
      <c r="D112" s="137"/>
      <c r="E112" s="59"/>
      <c r="F112" s="123"/>
      <c r="G112" s="137"/>
      <c r="H112" s="137"/>
      <c r="I112" s="123"/>
      <c r="J112" s="137"/>
      <c r="K112" s="137"/>
      <c r="L112" s="123"/>
    </row>
    <row r="113" spans="1:25" s="17" customFormat="1" x14ac:dyDescent="0.2">
      <c r="E113" s="20"/>
      <c r="J113" s="21"/>
      <c r="K113" s="21"/>
      <c r="L113" s="21"/>
    </row>
    <row r="114" spans="1:25" s="317" customFormat="1" ht="21" customHeight="1" x14ac:dyDescent="0.2">
      <c r="A114" s="336">
        <v>5</v>
      </c>
      <c r="B114" s="969" t="s">
        <v>863</v>
      </c>
      <c r="C114" s="969"/>
      <c r="D114" s="346"/>
      <c r="E114" s="318"/>
      <c r="F114" s="318"/>
      <c r="G114" s="319"/>
      <c r="H114" s="320"/>
      <c r="I114" s="321"/>
      <c r="J114" s="322"/>
      <c r="K114" s="322"/>
      <c r="L114" s="321"/>
      <c r="M114" s="322"/>
      <c r="N114" s="323"/>
      <c r="O114" s="323"/>
      <c r="P114" s="323"/>
      <c r="Q114" s="323"/>
      <c r="R114" s="323"/>
      <c r="S114" s="323"/>
      <c r="T114" s="323"/>
      <c r="U114" s="323"/>
      <c r="V114" s="323"/>
      <c r="W114" s="323"/>
      <c r="X114" s="323"/>
      <c r="Y114" s="323"/>
    </row>
    <row r="115" spans="1:25" customFormat="1" ht="29.25" customHeight="1" x14ac:dyDescent="0.2">
      <c r="A115" s="1"/>
      <c r="B115" s="417" t="s">
        <v>853</v>
      </c>
      <c r="C115" s="417"/>
      <c r="D115" s="417"/>
      <c r="E115" s="417"/>
      <c r="F115" s="417"/>
      <c r="O115" s="18"/>
      <c r="P115" s="24"/>
    </row>
    <row r="116" spans="1:25" s="42" customFormat="1" ht="18" customHeight="1" x14ac:dyDescent="0.2">
      <c r="A116" s="17"/>
      <c r="B116" s="409" t="s">
        <v>740</v>
      </c>
      <c r="C116" s="374"/>
      <c r="D116" s="374"/>
      <c r="E116" s="374"/>
      <c r="F116" s="374"/>
      <c r="G116" s="374"/>
      <c r="O116" s="17"/>
    </row>
    <row r="117" spans="1:25" customFormat="1" x14ac:dyDescent="0.2">
      <c r="A117" s="1"/>
      <c r="B117" s="409" t="s">
        <v>742</v>
      </c>
    </row>
    <row r="118" spans="1:25" ht="17" thickBot="1" x14ac:dyDescent="0.25">
      <c r="D118" s="138"/>
      <c r="E118" s="164"/>
      <c r="F118" s="138"/>
      <c r="G118" s="165"/>
      <c r="H118" s="165"/>
      <c r="I118" s="138"/>
      <c r="J118" s="137"/>
      <c r="K118" s="137"/>
      <c r="L118" s="123"/>
    </row>
    <row r="119" spans="1:25" ht="21" x14ac:dyDescent="0.25">
      <c r="B119" s="392" t="s">
        <v>634</v>
      </c>
      <c r="C119" s="393" t="s">
        <v>120</v>
      </c>
      <c r="D119" s="393" t="s">
        <v>412</v>
      </c>
      <c r="E119" s="393" t="s">
        <v>118</v>
      </c>
      <c r="F119" s="394" t="s">
        <v>119</v>
      </c>
      <c r="G119" s="165"/>
      <c r="H119" s="9"/>
      <c r="I119" s="9"/>
      <c r="J119" s="9"/>
      <c r="K119" s="9"/>
      <c r="L119" s="9"/>
    </row>
    <row r="120" spans="1:25" ht="19" x14ac:dyDescent="0.2">
      <c r="B120" s="167" t="s">
        <v>716</v>
      </c>
      <c r="C120" s="147">
        <v>10.172511991907053</v>
      </c>
      <c r="D120" s="147">
        <v>10.172511991907053</v>
      </c>
      <c r="E120" s="391" t="s">
        <v>24</v>
      </c>
      <c r="F120" s="395" t="s">
        <v>24</v>
      </c>
      <c r="G120" s="165"/>
      <c r="H120" s="9"/>
      <c r="I120" s="9"/>
      <c r="J120" s="9"/>
      <c r="K120" s="9"/>
      <c r="L120" s="9"/>
    </row>
    <row r="121" spans="1:25" ht="19" x14ac:dyDescent="0.2">
      <c r="B121" s="167" t="s">
        <v>717</v>
      </c>
      <c r="C121" s="147">
        <v>161.43939839999999</v>
      </c>
      <c r="D121" s="147">
        <v>161.43939839999999</v>
      </c>
      <c r="E121" s="391" t="s">
        <v>24</v>
      </c>
      <c r="F121" s="395" t="s">
        <v>24</v>
      </c>
      <c r="G121" s="165"/>
      <c r="H121" s="9"/>
      <c r="I121" s="9"/>
      <c r="J121" s="9"/>
      <c r="K121" s="9"/>
      <c r="L121" s="9"/>
    </row>
    <row r="122" spans="1:25" ht="18.75" customHeight="1" thickBot="1" x14ac:dyDescent="0.25">
      <c r="B122" s="339" t="s">
        <v>713</v>
      </c>
      <c r="C122" s="415">
        <v>171.61191039190703</v>
      </c>
      <c r="D122" s="415">
        <v>171.61191039190703</v>
      </c>
      <c r="E122" s="396" t="s">
        <v>24</v>
      </c>
      <c r="F122" s="397" t="s">
        <v>24</v>
      </c>
      <c r="G122" s="124"/>
      <c r="H122" s="165"/>
      <c r="I122" s="138"/>
    </row>
    <row r="123" spans="1:25" x14ac:dyDescent="0.2">
      <c r="D123" s="138"/>
      <c r="E123" s="164"/>
      <c r="F123" s="138"/>
      <c r="G123" s="165"/>
      <c r="H123" s="165"/>
      <c r="I123" s="138"/>
    </row>
    <row r="124" spans="1:25" x14ac:dyDescent="0.2">
      <c r="D124" s="138"/>
      <c r="E124" s="164"/>
      <c r="F124" s="138"/>
      <c r="G124" s="165"/>
      <c r="H124" s="9"/>
      <c r="I124" s="9"/>
      <c r="J124" s="9"/>
      <c r="K124" s="9"/>
      <c r="L124" s="9"/>
    </row>
    <row r="125" spans="1:25" x14ac:dyDescent="0.2">
      <c r="D125" s="138"/>
      <c r="E125" s="164"/>
      <c r="F125" s="138"/>
      <c r="G125" s="124"/>
      <c r="H125" s="9"/>
      <c r="I125" s="9"/>
      <c r="J125" s="9"/>
      <c r="K125" s="9"/>
      <c r="L125" s="9"/>
    </row>
    <row r="126" spans="1:25" ht="18.75" customHeight="1" x14ac:dyDescent="0.2">
      <c r="D126" s="138"/>
      <c r="E126" s="164"/>
      <c r="F126" s="138"/>
      <c r="G126" s="124"/>
      <c r="H126" s="9"/>
      <c r="I126" s="9"/>
      <c r="J126" s="9"/>
      <c r="K126" s="9"/>
      <c r="L126" s="9"/>
    </row>
    <row r="127" spans="1:25" x14ac:dyDescent="0.2">
      <c r="D127" s="138"/>
      <c r="E127" s="164"/>
      <c r="F127" s="138"/>
      <c r="G127" s="124"/>
      <c r="H127" s="9"/>
      <c r="I127" s="9"/>
      <c r="J127" s="9"/>
      <c r="K127" s="9"/>
      <c r="L127" s="9"/>
    </row>
    <row r="128" spans="1:25" x14ac:dyDescent="0.2">
      <c r="D128" s="138"/>
      <c r="E128" s="164"/>
      <c r="F128" s="138"/>
      <c r="G128" s="124"/>
      <c r="H128" s="165"/>
      <c r="I128" s="138"/>
    </row>
    <row r="129" spans="4:9" x14ac:dyDescent="0.2">
      <c r="D129" s="138"/>
      <c r="E129" s="164"/>
      <c r="F129" s="138"/>
      <c r="G129" s="124"/>
      <c r="H129" s="165"/>
      <c r="I129" s="138"/>
    </row>
    <row r="130" spans="4:9" x14ac:dyDescent="0.2">
      <c r="D130" s="138"/>
      <c r="E130" s="164"/>
      <c r="F130" s="138"/>
      <c r="G130" s="124"/>
      <c r="H130" s="165"/>
      <c r="I130" s="138"/>
    </row>
    <row r="131" spans="4:9" x14ac:dyDescent="0.2">
      <c r="D131" s="138"/>
      <c r="E131" s="164"/>
      <c r="F131" s="138"/>
      <c r="G131" s="124"/>
      <c r="H131" s="165"/>
      <c r="I131" s="138"/>
    </row>
    <row r="132" spans="4:9" x14ac:dyDescent="0.2">
      <c r="D132" s="138"/>
      <c r="E132" s="164"/>
      <c r="F132" s="138"/>
      <c r="G132" s="124"/>
      <c r="H132" s="165"/>
      <c r="I132" s="138"/>
    </row>
    <row r="133" spans="4:9" x14ac:dyDescent="0.2">
      <c r="D133" s="138"/>
      <c r="E133" s="164"/>
      <c r="F133" s="138"/>
      <c r="G133" s="124"/>
      <c r="H133" s="165"/>
      <c r="I133" s="138"/>
    </row>
    <row r="134" spans="4:9" x14ac:dyDescent="0.2">
      <c r="D134" s="138"/>
      <c r="E134" s="164"/>
      <c r="F134" s="138"/>
      <c r="G134" s="124"/>
      <c r="H134" s="165"/>
      <c r="I134" s="138"/>
    </row>
    <row r="135" spans="4:9" x14ac:dyDescent="0.2">
      <c r="D135" s="138"/>
      <c r="E135" s="164"/>
      <c r="F135" s="138"/>
      <c r="G135" s="124"/>
      <c r="H135" s="165"/>
      <c r="I135" s="138"/>
    </row>
    <row r="136" spans="4:9" x14ac:dyDescent="0.2">
      <c r="D136" s="138"/>
      <c r="E136" s="164"/>
      <c r="F136" s="138"/>
      <c r="G136" s="124"/>
      <c r="H136" s="165"/>
      <c r="I136" s="138"/>
    </row>
    <row r="137" spans="4:9" x14ac:dyDescent="0.2">
      <c r="D137" s="138"/>
      <c r="E137" s="164"/>
      <c r="F137" s="138"/>
      <c r="G137" s="124"/>
      <c r="H137" s="165"/>
      <c r="I137" s="138"/>
    </row>
    <row r="138" spans="4:9" x14ac:dyDescent="0.2">
      <c r="D138" s="138"/>
      <c r="E138" s="164"/>
      <c r="F138" s="138"/>
      <c r="G138" s="124"/>
      <c r="H138" s="165"/>
      <c r="I138" s="138"/>
    </row>
    <row r="139" spans="4:9" x14ac:dyDescent="0.2">
      <c r="D139" s="138"/>
      <c r="E139" s="164"/>
      <c r="F139" s="138"/>
      <c r="G139" s="124"/>
      <c r="H139" s="165"/>
      <c r="I139" s="138"/>
    </row>
    <row r="140" spans="4:9" x14ac:dyDescent="0.2">
      <c r="D140" s="138"/>
      <c r="E140" s="164"/>
      <c r="F140" s="138"/>
      <c r="G140" s="124"/>
      <c r="H140" s="165"/>
      <c r="I140" s="138"/>
    </row>
    <row r="141" spans="4:9" x14ac:dyDescent="0.2">
      <c r="D141" s="138"/>
      <c r="E141" s="164"/>
      <c r="F141" s="138"/>
      <c r="G141" s="124"/>
      <c r="H141" s="165"/>
      <c r="I141" s="138"/>
    </row>
    <row r="142" spans="4:9" x14ac:dyDescent="0.2">
      <c r="D142" s="138"/>
      <c r="E142" s="164"/>
      <c r="F142" s="138"/>
      <c r="G142" s="124"/>
      <c r="H142" s="165"/>
      <c r="I142" s="138"/>
    </row>
    <row r="143" spans="4:9" x14ac:dyDescent="0.2">
      <c r="D143" s="138"/>
      <c r="E143" s="164"/>
      <c r="F143" s="138"/>
      <c r="G143" s="124"/>
      <c r="H143" s="165"/>
      <c r="I143" s="138"/>
    </row>
    <row r="144" spans="4:9" x14ac:dyDescent="0.2">
      <c r="D144" s="138"/>
      <c r="E144" s="164"/>
      <c r="F144" s="138"/>
      <c r="G144" s="124"/>
      <c r="H144" s="165"/>
      <c r="I144" s="138"/>
    </row>
    <row r="145" spans="2:9" x14ac:dyDescent="0.2">
      <c r="D145" s="138"/>
      <c r="E145" s="164"/>
      <c r="F145" s="138"/>
      <c r="G145" s="124"/>
      <c r="H145" s="165"/>
      <c r="I145" s="138"/>
    </row>
    <row r="146" spans="2:9" x14ac:dyDescent="0.2">
      <c r="D146" s="138"/>
      <c r="E146" s="164"/>
      <c r="F146" s="138"/>
      <c r="G146" s="124"/>
      <c r="H146" s="165"/>
      <c r="I146" s="138"/>
    </row>
    <row r="147" spans="2:9" x14ac:dyDescent="0.2">
      <c r="D147" s="138"/>
      <c r="E147" s="164"/>
      <c r="F147" s="138"/>
      <c r="G147" s="124"/>
      <c r="H147" s="165"/>
      <c r="I147" s="138"/>
    </row>
    <row r="148" spans="2:9" ht="17" thickBot="1" x14ac:dyDescent="0.25">
      <c r="D148" s="138"/>
      <c r="E148" s="164"/>
      <c r="F148" s="138"/>
      <c r="G148" s="124"/>
      <c r="H148" s="165"/>
      <c r="I148" s="138"/>
    </row>
    <row r="149" spans="2:9" ht="21" x14ac:dyDescent="0.25">
      <c r="B149" s="392" t="s">
        <v>715</v>
      </c>
      <c r="C149" s="393" t="s">
        <v>120</v>
      </c>
      <c r="D149" s="393" t="s">
        <v>412</v>
      </c>
      <c r="E149" s="393" t="s">
        <v>118</v>
      </c>
      <c r="F149" s="394" t="s">
        <v>119</v>
      </c>
    </row>
    <row r="150" spans="2:9" ht="19" x14ac:dyDescent="0.2">
      <c r="B150" s="167" t="s">
        <v>716</v>
      </c>
      <c r="C150" s="147">
        <v>10.178468885085472</v>
      </c>
      <c r="D150" s="147">
        <v>11.534327265885469</v>
      </c>
      <c r="E150" s="379">
        <f>(D150-D120)/D120</f>
        <v>0.13387207359026329</v>
      </c>
      <c r="F150" s="380">
        <f>C150-D150</f>
        <v>-1.3558583807999973</v>
      </c>
    </row>
    <row r="151" spans="2:9" ht="19" x14ac:dyDescent="0.2">
      <c r="B151" s="167" t="s">
        <v>730</v>
      </c>
      <c r="C151" s="147">
        <v>161.43939839999999</v>
      </c>
      <c r="D151" s="147">
        <v>132.70318548480003</v>
      </c>
      <c r="E151" s="379">
        <f>(D151-D121)/D121</f>
        <v>-0.17799999999999974</v>
      </c>
      <c r="F151" s="380">
        <f t="shared" ref="F151:F152" si="24">C151-D151</f>
        <v>28.736212915199957</v>
      </c>
    </row>
    <row r="152" spans="2:9" ht="20" thickBot="1" x14ac:dyDescent="0.25">
      <c r="B152" s="339" t="s">
        <v>713</v>
      </c>
      <c r="C152" s="415">
        <v>171.61786728508545</v>
      </c>
      <c r="D152" s="415">
        <v>144.23751275068551</v>
      </c>
      <c r="E152" s="382">
        <f>(D152-D122)/D122</f>
        <v>-0.15951339029270814</v>
      </c>
      <c r="F152" s="383">
        <f t="shared" si="24"/>
        <v>27.380354534399942</v>
      </c>
    </row>
  </sheetData>
  <mergeCells count="12">
    <mergeCell ref="B2:G2"/>
    <mergeCell ref="B114:C114"/>
    <mergeCell ref="B12:D12"/>
    <mergeCell ref="B16:D16"/>
    <mergeCell ref="E12:E13"/>
    <mergeCell ref="F12:F13"/>
    <mergeCell ref="B8:G8"/>
    <mergeCell ref="F16:F17"/>
    <mergeCell ref="F20:F21"/>
    <mergeCell ref="E20:E21"/>
    <mergeCell ref="E16:E17"/>
    <mergeCell ref="B20:D2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A2356-63C8-408A-9805-30AC1024F5FB}">
  <sheetPr>
    <tabColor rgb="FFFBEBD9"/>
  </sheetPr>
  <dimension ref="A1:I39"/>
  <sheetViews>
    <sheetView showGridLines="0" workbookViewId="0"/>
  </sheetViews>
  <sheetFormatPr baseColWidth="10" defaultColWidth="11" defaultRowHeight="13" x14ac:dyDescent="0.15"/>
  <cols>
    <col min="1" max="1" width="7.6640625" style="206" customWidth="1"/>
    <col min="2" max="2" width="38" style="210" customWidth="1"/>
    <col min="3" max="3" width="35.83203125" style="210" customWidth="1"/>
    <col min="4" max="4" width="30.83203125" style="210" customWidth="1"/>
    <col min="5" max="5" width="33.1640625" style="211" customWidth="1"/>
    <col min="6" max="6" width="23.1640625" style="210" bestFit="1" customWidth="1"/>
    <col min="7" max="16384" width="11" style="206"/>
  </cols>
  <sheetData>
    <row r="1" spans="1:9" s="194" customFormat="1" ht="35" customHeight="1" x14ac:dyDescent="0.15">
      <c r="A1" s="359"/>
      <c r="B1" s="403" t="s">
        <v>553</v>
      </c>
      <c r="C1" s="359"/>
      <c r="D1" s="359"/>
      <c r="E1" s="359"/>
      <c r="F1" s="359"/>
    </row>
    <row r="2" spans="1:9" s="9" customFormat="1" ht="74.25" customHeight="1" x14ac:dyDescent="0.2">
      <c r="B2" s="884" t="s">
        <v>807</v>
      </c>
      <c r="C2" s="884"/>
      <c r="D2" s="884"/>
      <c r="E2" s="884"/>
      <c r="F2" s="884"/>
      <c r="I2" s="77"/>
    </row>
    <row r="3" spans="1:9" customFormat="1" ht="18" x14ac:dyDescent="0.2">
      <c r="A3" s="1"/>
      <c r="B3" s="535" t="s">
        <v>829</v>
      </c>
      <c r="C3" s="535" t="s">
        <v>854</v>
      </c>
      <c r="D3" s="840" t="s">
        <v>855</v>
      </c>
      <c r="E3" s="374"/>
      <c r="F3" s="374"/>
      <c r="G3" s="374"/>
    </row>
    <row r="4" spans="1:9" customFormat="1" ht="16" x14ac:dyDescent="0.2">
      <c r="A4" s="1"/>
      <c r="B4" s="535"/>
      <c r="C4" s="247"/>
      <c r="D4" s="374"/>
      <c r="E4" s="374"/>
      <c r="F4" s="374"/>
      <c r="G4" s="374"/>
    </row>
    <row r="5" spans="1:9" s="194" customFormat="1" ht="17" customHeight="1" x14ac:dyDescent="0.15">
      <c r="A5" s="377">
        <v>1</v>
      </c>
      <c r="B5" s="917" t="s">
        <v>184</v>
      </c>
      <c r="C5" s="917"/>
      <c r="D5" s="917"/>
      <c r="E5" s="917"/>
      <c r="F5" s="917"/>
    </row>
    <row r="6" spans="1:9" s="194" customFormat="1" ht="28.5" customHeight="1" x14ac:dyDescent="0.15">
      <c r="B6" s="251" t="s">
        <v>185</v>
      </c>
      <c r="C6" s="251" t="s">
        <v>186</v>
      </c>
      <c r="D6" s="251" t="s">
        <v>187</v>
      </c>
      <c r="E6" s="251" t="s">
        <v>188</v>
      </c>
      <c r="F6" s="251" t="s">
        <v>189</v>
      </c>
    </row>
    <row r="7" spans="1:9" ht="42" x14ac:dyDescent="0.15">
      <c r="B7" s="215" t="s">
        <v>808</v>
      </c>
      <c r="C7" s="215" t="s">
        <v>554</v>
      </c>
      <c r="D7" s="215" t="s">
        <v>555</v>
      </c>
      <c r="E7" s="217" t="s">
        <v>556</v>
      </c>
      <c r="F7" s="217" t="s">
        <v>365</v>
      </c>
    </row>
    <row r="8" spans="1:9" ht="98" x14ac:dyDescent="0.15">
      <c r="B8" s="214" t="s">
        <v>809</v>
      </c>
      <c r="C8" s="214" t="s">
        <v>557</v>
      </c>
      <c r="D8" s="214" t="s">
        <v>558</v>
      </c>
      <c r="E8" s="921" t="s">
        <v>443</v>
      </c>
      <c r="F8" s="921" t="s">
        <v>573</v>
      </c>
    </row>
    <row r="9" spans="1:9" ht="56" x14ac:dyDescent="0.15">
      <c r="B9" s="214" t="s">
        <v>560</v>
      </c>
      <c r="C9" s="214" t="s">
        <v>557</v>
      </c>
      <c r="D9" s="214" t="s">
        <v>558</v>
      </c>
      <c r="E9" s="922"/>
      <c r="F9" s="923"/>
    </row>
    <row r="10" spans="1:9" ht="38.25" customHeight="1" x14ac:dyDescent="0.15">
      <c r="B10" s="215" t="s">
        <v>561</v>
      </c>
      <c r="C10" s="214" t="s">
        <v>554</v>
      </c>
      <c r="D10" s="215" t="s">
        <v>562</v>
      </c>
      <c r="E10" s="923"/>
      <c r="F10" s="279" t="s">
        <v>563</v>
      </c>
    </row>
    <row r="11" spans="1:9" ht="28" x14ac:dyDescent="0.15">
      <c r="B11" s="208" t="s">
        <v>810</v>
      </c>
      <c r="C11" s="208" t="s">
        <v>564</v>
      </c>
      <c r="D11" s="208" t="s">
        <v>565</v>
      </c>
      <c r="E11" s="217" t="s">
        <v>202</v>
      </c>
      <c r="F11" s="279" t="s">
        <v>559</v>
      </c>
    </row>
    <row r="12" spans="1:9" ht="42" x14ac:dyDescent="0.15">
      <c r="B12" s="214" t="s">
        <v>566</v>
      </c>
      <c r="C12" s="214" t="s">
        <v>554</v>
      </c>
      <c r="D12" s="214" t="s">
        <v>555</v>
      </c>
      <c r="E12" s="279" t="s">
        <v>443</v>
      </c>
      <c r="F12" s="921" t="s">
        <v>563</v>
      </c>
    </row>
    <row r="13" spans="1:9" ht="28" x14ac:dyDescent="0.15">
      <c r="B13" s="214" t="s">
        <v>567</v>
      </c>
      <c r="C13" s="214" t="s">
        <v>554</v>
      </c>
      <c r="D13" s="214" t="s">
        <v>555</v>
      </c>
      <c r="E13" s="279" t="s">
        <v>202</v>
      </c>
      <c r="F13" s="923"/>
    </row>
    <row r="14" spans="1:9" ht="38.25" customHeight="1" x14ac:dyDescent="0.15">
      <c r="B14" s="214" t="s">
        <v>568</v>
      </c>
      <c r="C14" s="214" t="s">
        <v>554</v>
      </c>
      <c r="D14" s="214" t="s">
        <v>569</v>
      </c>
      <c r="E14" s="921" t="s">
        <v>443</v>
      </c>
      <c r="F14" s="279" t="s">
        <v>570</v>
      </c>
    </row>
    <row r="15" spans="1:9" ht="38.25" customHeight="1" x14ac:dyDescent="0.15">
      <c r="B15" s="214" t="s">
        <v>571</v>
      </c>
      <c r="C15" s="214" t="s">
        <v>572</v>
      </c>
      <c r="D15" s="214" t="s">
        <v>569</v>
      </c>
      <c r="E15" s="923"/>
      <c r="F15" s="279" t="s">
        <v>573</v>
      </c>
    </row>
    <row r="16" spans="1:9" ht="28" x14ac:dyDescent="0.15">
      <c r="B16" s="208" t="s">
        <v>574</v>
      </c>
      <c r="C16" s="208" t="s">
        <v>575</v>
      </c>
      <c r="D16" s="208" t="s">
        <v>576</v>
      </c>
      <c r="E16" s="967" t="s">
        <v>202</v>
      </c>
      <c r="F16" s="921" t="s">
        <v>573</v>
      </c>
    </row>
    <row r="17" spans="1:6" ht="28" x14ac:dyDescent="0.15">
      <c r="B17" s="208" t="s">
        <v>577</v>
      </c>
      <c r="C17" s="208" t="s">
        <v>578</v>
      </c>
      <c r="D17" s="208" t="s">
        <v>576</v>
      </c>
      <c r="E17" s="977"/>
      <c r="F17" s="922"/>
    </row>
    <row r="18" spans="1:6" ht="28" x14ac:dyDescent="0.15">
      <c r="B18" s="208" t="s">
        <v>579</v>
      </c>
      <c r="C18" s="208" t="s">
        <v>580</v>
      </c>
      <c r="D18" s="208" t="s">
        <v>576</v>
      </c>
      <c r="E18" s="977"/>
      <c r="F18" s="922"/>
    </row>
    <row r="19" spans="1:6" ht="42" x14ac:dyDescent="0.15">
      <c r="B19" s="214" t="s">
        <v>581</v>
      </c>
      <c r="C19" s="214" t="s">
        <v>582</v>
      </c>
      <c r="D19" s="214" t="s">
        <v>569</v>
      </c>
      <c r="E19" s="968"/>
      <c r="F19" s="923"/>
    </row>
    <row r="20" spans="1:6" ht="42" x14ac:dyDescent="0.15">
      <c r="B20" s="208" t="s">
        <v>583</v>
      </c>
      <c r="C20" s="208" t="s">
        <v>203</v>
      </c>
      <c r="D20" s="209" t="s">
        <v>204</v>
      </c>
      <c r="E20" s="279" t="s">
        <v>205</v>
      </c>
      <c r="F20" s="279" t="s">
        <v>206</v>
      </c>
    </row>
    <row r="21" spans="1:6" ht="19.5" customHeight="1" x14ac:dyDescent="0.15">
      <c r="E21" s="249"/>
    </row>
    <row r="22" spans="1:6" s="194" customFormat="1" ht="17" customHeight="1" x14ac:dyDescent="0.15">
      <c r="A22" s="377">
        <v>2</v>
      </c>
      <c r="B22" s="914" t="s">
        <v>428</v>
      </c>
      <c r="C22" s="914"/>
      <c r="D22" s="914"/>
      <c r="E22" s="914"/>
      <c r="F22" s="914"/>
    </row>
    <row r="23" spans="1:6" s="194" customFormat="1" ht="18.75" customHeight="1" x14ac:dyDescent="0.15">
      <c r="A23" s="915" t="s">
        <v>584</v>
      </c>
      <c r="B23" s="916"/>
      <c r="C23" s="916"/>
      <c r="D23" s="916"/>
      <c r="E23" s="916"/>
      <c r="F23" s="916"/>
    </row>
    <row r="24" spans="1:6" s="194" customFormat="1" ht="46.5" customHeight="1" x14ac:dyDescent="0.15">
      <c r="B24" s="192" t="s">
        <v>185</v>
      </c>
      <c r="C24" s="192" t="s">
        <v>186</v>
      </c>
      <c r="D24" s="192" t="s">
        <v>187</v>
      </c>
      <c r="E24" s="192" t="s">
        <v>188</v>
      </c>
      <c r="F24" s="192" t="s">
        <v>189</v>
      </c>
    </row>
    <row r="25" spans="1:6" ht="28" x14ac:dyDescent="0.15">
      <c r="B25" s="208" t="s">
        <v>585</v>
      </c>
      <c r="C25" s="208" t="s">
        <v>586</v>
      </c>
      <c r="D25" s="208" t="s">
        <v>576</v>
      </c>
      <c r="E25" s="967" t="s">
        <v>202</v>
      </c>
      <c r="F25" s="279" t="s">
        <v>573</v>
      </c>
    </row>
    <row r="26" spans="1:6" ht="30" x14ac:dyDescent="0.15">
      <c r="B26" s="208" t="s">
        <v>587</v>
      </c>
      <c r="C26" s="208" t="s">
        <v>588</v>
      </c>
      <c r="D26" s="208" t="s">
        <v>589</v>
      </c>
      <c r="E26" s="968"/>
      <c r="F26" s="279" t="s">
        <v>590</v>
      </c>
    </row>
    <row r="27" spans="1:6" ht="42" x14ac:dyDescent="0.15">
      <c r="B27" s="209" t="s">
        <v>591</v>
      </c>
      <c r="C27" s="209" t="s">
        <v>592</v>
      </c>
      <c r="D27" s="209" t="s">
        <v>592</v>
      </c>
      <c r="E27" s="217" t="s">
        <v>592</v>
      </c>
      <c r="F27" s="279" t="s">
        <v>590</v>
      </c>
    </row>
    <row r="28" spans="1:6" ht="21" customHeight="1" x14ac:dyDescent="0.15"/>
    <row r="29" spans="1:6" s="194" customFormat="1" ht="17" customHeight="1" x14ac:dyDescent="0.15">
      <c r="A29" s="377">
        <v>3</v>
      </c>
      <c r="B29" s="914" t="s">
        <v>229</v>
      </c>
      <c r="C29" s="914"/>
      <c r="D29" s="914"/>
      <c r="E29" s="914"/>
      <c r="F29" s="914"/>
    </row>
    <row r="30" spans="1:6" s="194" customFormat="1" ht="18.75" customHeight="1" x14ac:dyDescent="0.15">
      <c r="A30" s="915" t="s">
        <v>584</v>
      </c>
      <c r="B30" s="913"/>
      <c r="C30" s="913"/>
      <c r="D30" s="913"/>
      <c r="E30" s="913"/>
      <c r="F30" s="913"/>
    </row>
    <row r="31" spans="1:6" s="194" customFormat="1" ht="46.5" customHeight="1" x14ac:dyDescent="0.15">
      <c r="B31" s="192" t="s">
        <v>185</v>
      </c>
      <c r="C31" s="192" t="s">
        <v>186</v>
      </c>
      <c r="D31" s="192" t="s">
        <v>187</v>
      </c>
      <c r="E31" s="192" t="s">
        <v>188</v>
      </c>
      <c r="F31" s="192" t="s">
        <v>189</v>
      </c>
    </row>
    <row r="32" spans="1:6" ht="28" x14ac:dyDescent="0.15">
      <c r="B32" s="208" t="s">
        <v>593</v>
      </c>
      <c r="C32" s="208" t="s">
        <v>594</v>
      </c>
      <c r="D32" s="208" t="s">
        <v>576</v>
      </c>
      <c r="E32" s="921" t="s">
        <v>202</v>
      </c>
      <c r="F32" s="921" t="s">
        <v>573</v>
      </c>
    </row>
    <row r="33" spans="2:6" ht="24.75" customHeight="1" x14ac:dyDescent="0.15">
      <c r="B33" s="208" t="s">
        <v>595</v>
      </c>
      <c r="C33" s="208" t="s">
        <v>596</v>
      </c>
      <c r="D33" s="208" t="s">
        <v>558</v>
      </c>
      <c r="E33" s="923"/>
      <c r="F33" s="922"/>
    </row>
    <row r="34" spans="2:6" ht="35.25" customHeight="1" x14ac:dyDescent="0.15">
      <c r="B34" s="208" t="s">
        <v>597</v>
      </c>
      <c r="C34" s="208" t="s">
        <v>598</v>
      </c>
      <c r="D34" s="208" t="s">
        <v>555</v>
      </c>
      <c r="E34" s="279" t="s">
        <v>267</v>
      </c>
      <c r="F34" s="922"/>
    </row>
    <row r="35" spans="2:6" ht="28" x14ac:dyDescent="0.15">
      <c r="B35" s="208" t="s">
        <v>599</v>
      </c>
      <c r="C35" s="208" t="s">
        <v>594</v>
      </c>
      <c r="D35" s="208" t="s">
        <v>576</v>
      </c>
      <c r="E35" s="921" t="s">
        <v>202</v>
      </c>
      <c r="F35" s="922"/>
    </row>
    <row r="36" spans="2:6" ht="28" x14ac:dyDescent="0.15">
      <c r="B36" s="208" t="s">
        <v>600</v>
      </c>
      <c r="C36" s="208" t="s">
        <v>594</v>
      </c>
      <c r="D36" s="208" t="s">
        <v>576</v>
      </c>
      <c r="E36" s="923"/>
      <c r="F36" s="922"/>
    </row>
    <row r="37" spans="2:6" ht="51" customHeight="1" x14ac:dyDescent="0.15">
      <c r="B37" s="208" t="s">
        <v>601</v>
      </c>
      <c r="C37" s="208" t="s">
        <v>602</v>
      </c>
      <c r="D37" s="208" t="s">
        <v>603</v>
      </c>
      <c r="E37" s="279" t="s">
        <v>267</v>
      </c>
      <c r="F37" s="923"/>
    </row>
    <row r="38" spans="2:6" ht="30" customHeight="1" x14ac:dyDescent="0.15">
      <c r="B38" s="208" t="s">
        <v>604</v>
      </c>
      <c r="C38" s="208" t="s">
        <v>592</v>
      </c>
      <c r="D38" s="208" t="s">
        <v>592</v>
      </c>
      <c r="E38" s="279" t="s">
        <v>592</v>
      </c>
      <c r="F38" s="279" t="s">
        <v>590</v>
      </c>
    </row>
    <row r="39" spans="2:6" ht="24.75" customHeight="1" x14ac:dyDescent="0.15"/>
  </sheetData>
  <mergeCells count="16">
    <mergeCell ref="B2:F2"/>
    <mergeCell ref="A23:F23"/>
    <mergeCell ref="E8:E10"/>
    <mergeCell ref="B22:F22"/>
    <mergeCell ref="B29:F29"/>
    <mergeCell ref="B5:F5"/>
    <mergeCell ref="F32:F37"/>
    <mergeCell ref="F16:F19"/>
    <mergeCell ref="F12:F13"/>
    <mergeCell ref="F8:F9"/>
    <mergeCell ref="E32:E33"/>
    <mergeCell ref="E35:E36"/>
    <mergeCell ref="E25:E26"/>
    <mergeCell ref="E16:E19"/>
    <mergeCell ref="E14:E15"/>
    <mergeCell ref="A30:F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8E914-63A0-491D-8015-867132FA5CAA}">
  <dimension ref="A1:X145"/>
  <sheetViews>
    <sheetView showGridLines="0" workbookViewId="0"/>
  </sheetViews>
  <sheetFormatPr baseColWidth="10" defaultColWidth="11" defaultRowHeight="16" x14ac:dyDescent="0.2"/>
  <cols>
    <col min="1" max="1" width="7.6640625" style="9" customWidth="1"/>
    <col min="2" max="2" width="30" style="9" customWidth="1"/>
    <col min="3" max="3" width="37.1640625" style="9" customWidth="1"/>
    <col min="4" max="4" width="36.33203125" style="9" customWidth="1"/>
    <col min="5" max="5" width="31.1640625" style="9" customWidth="1"/>
    <col min="6" max="6" width="30.6640625" style="9" customWidth="1"/>
    <col min="7" max="7" width="17.1640625" style="9" customWidth="1"/>
    <col min="8" max="8" width="17.83203125" style="9" bestFit="1" customWidth="1"/>
    <col min="9" max="9" width="23.5" style="77" bestFit="1" customWidth="1"/>
    <col min="10" max="10" width="21.6640625" style="9" customWidth="1"/>
    <col min="11" max="11" width="26" style="9" customWidth="1"/>
    <col min="12" max="12" width="30.1640625" style="9" customWidth="1"/>
    <col min="13" max="13" width="14" style="9" bestFit="1" customWidth="1"/>
    <col min="14" max="16384" width="11" style="9"/>
  </cols>
  <sheetData>
    <row r="1" spans="1:14" s="24" customFormat="1" ht="35" customHeight="1" x14ac:dyDescent="0.2">
      <c r="A1" s="115"/>
      <c r="B1" s="309" t="s">
        <v>621</v>
      </c>
      <c r="C1" s="203"/>
      <c r="D1" s="203"/>
      <c r="E1" s="203"/>
      <c r="F1" s="203"/>
      <c r="G1" s="203"/>
      <c r="H1" s="203"/>
      <c r="I1" s="204"/>
      <c r="J1" s="203"/>
      <c r="K1" s="203"/>
      <c r="L1" s="203"/>
    </row>
    <row r="2" spans="1:14" ht="63" customHeight="1" thickBot="1" x14ac:dyDescent="0.25">
      <c r="B2" s="884" t="s">
        <v>815</v>
      </c>
      <c r="C2" s="884"/>
      <c r="D2" s="884"/>
      <c r="E2" s="884"/>
      <c r="F2" s="884"/>
    </row>
    <row r="3" spans="1:14" ht="25.5" customHeight="1" x14ac:dyDescent="0.2">
      <c r="B3" s="887" t="s">
        <v>14</v>
      </c>
      <c r="C3" s="890" t="s">
        <v>15</v>
      </c>
      <c r="D3" s="892" t="s">
        <v>16</v>
      </c>
      <c r="E3" s="892"/>
      <c r="F3" s="893"/>
    </row>
    <row r="4" spans="1:14" ht="35.25" customHeight="1" x14ac:dyDescent="0.2">
      <c r="B4" s="888"/>
      <c r="C4" s="891"/>
      <c r="D4" s="292" t="s">
        <v>17</v>
      </c>
      <c r="E4" s="293" t="s">
        <v>18</v>
      </c>
      <c r="F4" s="294" t="s">
        <v>19</v>
      </c>
      <c r="I4" s="78"/>
    </row>
    <row r="5" spans="1:14" x14ac:dyDescent="0.2">
      <c r="B5" s="888"/>
      <c r="C5" s="136" t="s">
        <v>20</v>
      </c>
      <c r="D5" s="260">
        <v>1272</v>
      </c>
      <c r="E5" s="261">
        <v>1272</v>
      </c>
      <c r="F5" s="142" t="s">
        <v>3</v>
      </c>
      <c r="I5" s="78"/>
    </row>
    <row r="6" spans="1:14" x14ac:dyDescent="0.2">
      <c r="B6" s="888"/>
      <c r="C6" s="94" t="s">
        <v>776</v>
      </c>
      <c r="D6" s="262">
        <f>0.95*F6</f>
        <v>1596000</v>
      </c>
      <c r="E6" s="262">
        <f>0.05*F6</f>
        <v>84000</v>
      </c>
      <c r="F6" s="264">
        <v>1680000</v>
      </c>
      <c r="I6" s="9"/>
    </row>
    <row r="7" spans="1:14" x14ac:dyDescent="0.2">
      <c r="B7" s="888"/>
      <c r="C7" s="254" t="s">
        <v>21</v>
      </c>
      <c r="D7" s="255">
        <v>0.97</v>
      </c>
      <c r="E7" s="255">
        <v>0.03</v>
      </c>
      <c r="F7" s="265" t="s">
        <v>332</v>
      </c>
      <c r="G7" s="3"/>
      <c r="I7" s="9"/>
    </row>
    <row r="8" spans="1:14" x14ac:dyDescent="0.2">
      <c r="B8" s="888"/>
      <c r="C8" s="90" t="s">
        <v>22</v>
      </c>
      <c r="D8" s="262">
        <f>F8*D7</f>
        <v>58200</v>
      </c>
      <c r="E8" s="262">
        <f>F8*E7</f>
        <v>1800</v>
      </c>
      <c r="F8" s="264">
        <v>60000</v>
      </c>
      <c r="G8" s="3"/>
      <c r="I8" s="9"/>
    </row>
    <row r="9" spans="1:14" x14ac:dyDescent="0.2">
      <c r="B9" s="888"/>
      <c r="C9" s="94" t="s">
        <v>23</v>
      </c>
      <c r="D9" s="263">
        <v>28</v>
      </c>
      <c r="E9" s="263">
        <v>44.5</v>
      </c>
      <c r="F9" s="176" t="s">
        <v>24</v>
      </c>
      <c r="G9" s="3"/>
      <c r="I9" s="9"/>
      <c r="N9" s="11"/>
    </row>
    <row r="10" spans="1:14" ht="17" thickBot="1" x14ac:dyDescent="0.25">
      <c r="B10" s="889"/>
      <c r="C10" s="139" t="s">
        <v>25</v>
      </c>
      <c r="D10" s="227">
        <v>1825</v>
      </c>
      <c r="E10" s="227">
        <v>1825</v>
      </c>
      <c r="F10" s="291" t="s">
        <v>3</v>
      </c>
      <c r="G10" s="220"/>
      <c r="H10"/>
      <c r="I10"/>
      <c r="J10"/>
      <c r="K10"/>
      <c r="L10"/>
    </row>
    <row r="11" spans="1:14" ht="25" customHeight="1" thickBot="1" x14ac:dyDescent="0.25">
      <c r="B11" s="8"/>
      <c r="C11" s="7"/>
      <c r="D11" s="81"/>
      <c r="E11" s="82"/>
      <c r="H11"/>
      <c r="I11"/>
      <c r="J11"/>
      <c r="K11"/>
      <c r="L11"/>
    </row>
    <row r="12" spans="1:14" ht="35.25" customHeight="1" x14ac:dyDescent="0.2">
      <c r="B12" s="887" t="s">
        <v>756</v>
      </c>
      <c r="C12" s="282" t="s">
        <v>26</v>
      </c>
      <c r="D12" s="295" t="s">
        <v>617</v>
      </c>
      <c r="E12" s="295" t="s">
        <v>27</v>
      </c>
      <c r="F12" s="296" t="s">
        <v>28</v>
      </c>
      <c r="H12"/>
      <c r="I12"/>
      <c r="J12"/>
      <c r="K12"/>
      <c r="L12"/>
    </row>
    <row r="13" spans="1:14" x14ac:dyDescent="0.2">
      <c r="B13" s="888"/>
      <c r="C13" s="80" t="s">
        <v>29</v>
      </c>
      <c r="D13" s="254">
        <f>E13*$F$6</f>
        <v>369600</v>
      </c>
      <c r="E13" s="83">
        <v>0.22</v>
      </c>
      <c r="F13" s="894">
        <f>SUM(D13:D15)</f>
        <v>1428000</v>
      </c>
      <c r="H13"/>
      <c r="I13"/>
      <c r="J13"/>
      <c r="K13"/>
      <c r="L13"/>
    </row>
    <row r="14" spans="1:14" x14ac:dyDescent="0.2">
      <c r="B14" s="888"/>
      <c r="C14" s="80" t="s">
        <v>30</v>
      </c>
      <c r="D14" s="254">
        <f>E14*$F$6</f>
        <v>436800</v>
      </c>
      <c r="E14" s="83">
        <v>0.26</v>
      </c>
      <c r="F14" s="895"/>
      <c r="H14"/>
      <c r="I14"/>
      <c r="J14"/>
      <c r="K14"/>
      <c r="L14"/>
    </row>
    <row r="15" spans="1:14" ht="17" x14ac:dyDescent="0.2">
      <c r="B15" s="888"/>
      <c r="C15" s="84" t="s">
        <v>31</v>
      </c>
      <c r="D15" s="254">
        <f>E15*$F$6</f>
        <v>621600</v>
      </c>
      <c r="E15" s="83">
        <v>0.37</v>
      </c>
      <c r="F15" s="896"/>
      <c r="H15"/>
      <c r="I15"/>
      <c r="J15"/>
      <c r="K15"/>
      <c r="L15"/>
    </row>
    <row r="16" spans="1:14" ht="17" thickBot="1" x14ac:dyDescent="0.25">
      <c r="B16" s="889"/>
      <c r="C16" s="156" t="s">
        <v>32</v>
      </c>
      <c r="D16" s="256">
        <f>E16*$F$6</f>
        <v>252000</v>
      </c>
      <c r="E16" s="172">
        <v>0.15</v>
      </c>
      <c r="F16" s="273">
        <f>D16</f>
        <v>252000</v>
      </c>
      <c r="H16"/>
      <c r="I16"/>
      <c r="J16"/>
      <c r="K16"/>
      <c r="L16"/>
    </row>
    <row r="17" spans="2:12" ht="25" customHeight="1" thickBot="1" x14ac:dyDescent="0.25">
      <c r="B17" s="85"/>
      <c r="C17" s="7"/>
      <c r="D17" s="8"/>
      <c r="E17" s="8"/>
      <c r="F17" s="8"/>
      <c r="H17"/>
      <c r="I17"/>
      <c r="J17"/>
      <c r="K17"/>
      <c r="L17"/>
    </row>
    <row r="18" spans="2:12" s="42" customFormat="1" ht="20.25" customHeight="1" x14ac:dyDescent="0.2">
      <c r="B18" s="887" t="s">
        <v>33</v>
      </c>
      <c r="C18" s="297" t="s">
        <v>34</v>
      </c>
      <c r="D18" s="297" t="s">
        <v>35</v>
      </c>
      <c r="E18" s="297" t="s">
        <v>36</v>
      </c>
      <c r="F18" s="298" t="s">
        <v>37</v>
      </c>
      <c r="H18"/>
      <c r="I18"/>
      <c r="J18"/>
      <c r="K18"/>
      <c r="L18"/>
    </row>
    <row r="19" spans="2:12" x14ac:dyDescent="0.2">
      <c r="B19" s="888"/>
      <c r="C19" s="80" t="s">
        <v>38</v>
      </c>
      <c r="D19" s="86">
        <f>SUM(G43:G56)/F40</f>
        <v>0.74452761168813997</v>
      </c>
      <c r="E19" s="86">
        <v>0.95</v>
      </c>
      <c r="F19" s="257">
        <f>$F$6*E19</f>
        <v>1596000</v>
      </c>
      <c r="H19"/>
      <c r="I19"/>
      <c r="J19"/>
      <c r="K19"/>
      <c r="L19"/>
    </row>
    <row r="20" spans="2:12" x14ac:dyDescent="0.2">
      <c r="B20" s="888"/>
      <c r="C20" s="80" t="s">
        <v>39</v>
      </c>
      <c r="D20" s="86">
        <f>G57/F40</f>
        <v>9.9329356976009635E-3</v>
      </c>
      <c r="E20" s="86">
        <v>0</v>
      </c>
      <c r="F20" s="257">
        <f>$F$6*E20</f>
        <v>0</v>
      </c>
      <c r="H20"/>
      <c r="I20"/>
      <c r="J20"/>
      <c r="K20"/>
      <c r="L20"/>
    </row>
    <row r="21" spans="2:12" x14ac:dyDescent="0.2">
      <c r="B21" s="888"/>
      <c r="C21" s="80" t="s">
        <v>40</v>
      </c>
      <c r="D21" s="86">
        <f>SUM(G62:G73)/F40</f>
        <v>0.24553945261425905</v>
      </c>
      <c r="E21" s="86">
        <v>0.05</v>
      </c>
      <c r="F21" s="257">
        <f>$F$6*E21</f>
        <v>84000</v>
      </c>
      <c r="H21"/>
      <c r="I21"/>
      <c r="J21"/>
      <c r="K21"/>
      <c r="L21"/>
    </row>
    <row r="22" spans="2:12" ht="17" thickBot="1" x14ac:dyDescent="0.25">
      <c r="B22" s="889"/>
      <c r="C22" s="156" t="s">
        <v>41</v>
      </c>
      <c r="D22" s="258">
        <f>SUM(D19:D21)</f>
        <v>1</v>
      </c>
      <c r="E22" s="258">
        <f>SUM(E19:E21)</f>
        <v>1</v>
      </c>
      <c r="F22" s="259">
        <f t="shared" ref="F22" si="0">$F$6*E22</f>
        <v>1680000</v>
      </c>
      <c r="H22"/>
      <c r="I22"/>
      <c r="J22"/>
      <c r="K22"/>
      <c r="L22"/>
    </row>
    <row r="23" spans="2:12" ht="25" customHeight="1" thickBot="1" x14ac:dyDescent="0.25">
      <c r="H23"/>
      <c r="I23"/>
      <c r="J23"/>
      <c r="K23"/>
      <c r="L23"/>
    </row>
    <row r="24" spans="2:12" x14ac:dyDescent="0.2">
      <c r="B24" s="887" t="s">
        <v>42</v>
      </c>
      <c r="C24" s="173" t="s">
        <v>43</v>
      </c>
      <c r="D24" s="174"/>
      <c r="E24" s="175" t="s">
        <v>44</v>
      </c>
      <c r="F24" s="3"/>
      <c r="H24"/>
      <c r="I24"/>
      <c r="J24"/>
      <c r="K24"/>
      <c r="L24"/>
    </row>
    <row r="25" spans="2:12" x14ac:dyDescent="0.2">
      <c r="B25" s="888"/>
      <c r="C25" s="87" t="s">
        <v>45</v>
      </c>
      <c r="D25" s="88"/>
      <c r="E25" s="176" t="s">
        <v>46</v>
      </c>
      <c r="F25" s="3"/>
      <c r="H25" s="11"/>
      <c r="I25" s="89"/>
    </row>
    <row r="26" spans="2:12" x14ac:dyDescent="0.2">
      <c r="B26" s="888"/>
      <c r="C26" s="87" t="s">
        <v>47</v>
      </c>
      <c r="D26" s="88"/>
      <c r="E26" s="177">
        <v>0.8</v>
      </c>
      <c r="F26" s="11"/>
      <c r="H26" s="11"/>
      <c r="I26" s="89"/>
    </row>
    <row r="27" spans="2:12" x14ac:dyDescent="0.2">
      <c r="B27" s="888"/>
      <c r="C27" s="87" t="s">
        <v>48</v>
      </c>
      <c r="D27" s="88"/>
      <c r="E27" s="177">
        <v>0.4</v>
      </c>
      <c r="F27" s="11"/>
      <c r="H27" s="11"/>
      <c r="I27" s="89"/>
    </row>
    <row r="28" spans="2:12" x14ac:dyDescent="0.2">
      <c r="B28" s="888"/>
      <c r="C28" s="87" t="s">
        <v>49</v>
      </c>
      <c r="D28" s="88"/>
      <c r="E28" s="177">
        <v>0.4</v>
      </c>
      <c r="F28" s="11"/>
      <c r="H28" s="11"/>
      <c r="I28" s="89"/>
    </row>
    <row r="29" spans="2:12" ht="18.75" customHeight="1" thickBot="1" x14ac:dyDescent="0.25">
      <c r="B29" s="889"/>
      <c r="C29" s="178" t="s">
        <v>50</v>
      </c>
      <c r="D29" s="179"/>
      <c r="E29" s="180">
        <v>0.2</v>
      </c>
      <c r="F29" s="11"/>
      <c r="H29" s="11"/>
      <c r="I29" s="89"/>
    </row>
    <row r="30" spans="2:12" ht="25" customHeight="1" thickBot="1" x14ac:dyDescent="0.25">
      <c r="B30" s="8"/>
      <c r="C30" s="15"/>
      <c r="D30" s="13"/>
      <c r="H30" s="24"/>
      <c r="I30" s="3"/>
      <c r="J30" s="70"/>
      <c r="K30" s="24"/>
    </row>
    <row r="31" spans="2:12" ht="17" x14ac:dyDescent="0.2">
      <c r="B31" s="887" t="s">
        <v>755</v>
      </c>
      <c r="C31" s="297" t="s">
        <v>51</v>
      </c>
      <c r="D31" s="297" t="s">
        <v>619</v>
      </c>
      <c r="E31" s="297" t="s">
        <v>618</v>
      </c>
      <c r="F31" s="298" t="s">
        <v>414</v>
      </c>
      <c r="I31" s="24"/>
      <c r="J31" s="3"/>
      <c r="K31" s="70"/>
      <c r="L31" s="24"/>
    </row>
    <row r="32" spans="2:12" ht="16.5" customHeight="1" x14ac:dyDescent="0.2">
      <c r="B32" s="888"/>
      <c r="C32" s="79" t="s">
        <v>53</v>
      </c>
      <c r="D32" s="91">
        <v>145305</v>
      </c>
      <c r="E32" s="91">
        <v>34509</v>
      </c>
      <c r="F32" s="181">
        <f>SUM(D32:E32)</f>
        <v>179814</v>
      </c>
      <c r="I32" s="24"/>
      <c r="J32" s="3"/>
      <c r="K32" s="70"/>
      <c r="L32" s="24"/>
    </row>
    <row r="33" spans="2:12" ht="16.5" customHeight="1" x14ac:dyDescent="0.2">
      <c r="B33" s="888"/>
      <c r="C33" s="79" t="s">
        <v>54</v>
      </c>
      <c r="D33" s="91">
        <v>20324</v>
      </c>
      <c r="E33" s="92"/>
      <c r="F33" s="181">
        <f t="shared" ref="F33:F40" si="1">SUM(D33:E33)</f>
        <v>20324</v>
      </c>
      <c r="I33" s="24"/>
      <c r="J33" s="3"/>
      <c r="K33" s="70"/>
      <c r="L33" s="24"/>
    </row>
    <row r="34" spans="2:12" ht="16.5" customHeight="1" x14ac:dyDescent="0.2">
      <c r="B34" s="888"/>
      <c r="C34" s="79" t="s">
        <v>55</v>
      </c>
      <c r="D34" s="91">
        <v>234900</v>
      </c>
      <c r="E34" s="91">
        <v>3209</v>
      </c>
      <c r="F34" s="181">
        <f t="shared" si="1"/>
        <v>238109</v>
      </c>
      <c r="I34" s="24"/>
      <c r="J34" s="3"/>
      <c r="K34" s="70"/>
      <c r="L34" s="24"/>
    </row>
    <row r="35" spans="2:12" ht="16.5" customHeight="1" x14ac:dyDescent="0.2">
      <c r="B35" s="888"/>
      <c r="C35" s="79" t="s">
        <v>56</v>
      </c>
      <c r="D35" s="91">
        <v>1251</v>
      </c>
      <c r="E35" s="91"/>
      <c r="F35" s="181">
        <f t="shared" si="1"/>
        <v>1251</v>
      </c>
      <c r="I35" s="24"/>
      <c r="J35" s="3"/>
      <c r="K35" s="70"/>
      <c r="L35" s="24"/>
    </row>
    <row r="36" spans="2:12" ht="16.5" customHeight="1" x14ac:dyDescent="0.2">
      <c r="B36" s="888"/>
      <c r="C36" s="79" t="s">
        <v>57</v>
      </c>
      <c r="D36" s="91">
        <v>5409</v>
      </c>
      <c r="E36" s="91">
        <v>85988</v>
      </c>
      <c r="F36" s="181">
        <f t="shared" si="1"/>
        <v>91397</v>
      </c>
      <c r="I36" s="24"/>
      <c r="J36" s="3"/>
      <c r="K36" s="70"/>
      <c r="L36" s="24"/>
    </row>
    <row r="37" spans="2:12" ht="16.5" customHeight="1" x14ac:dyDescent="0.2">
      <c r="B37" s="888"/>
      <c r="C37" s="79" t="s">
        <v>58</v>
      </c>
      <c r="D37" s="91"/>
      <c r="E37" s="91">
        <v>6789</v>
      </c>
      <c r="F37" s="181">
        <f t="shared" si="1"/>
        <v>6789</v>
      </c>
      <c r="I37" s="24"/>
      <c r="J37" s="3"/>
      <c r="K37" s="70"/>
      <c r="L37" s="24"/>
    </row>
    <row r="38" spans="2:12" ht="16.5" customHeight="1" x14ac:dyDescent="0.2">
      <c r="B38" s="888"/>
      <c r="C38" s="79" t="s">
        <v>59</v>
      </c>
      <c r="D38" s="91">
        <v>1305</v>
      </c>
      <c r="E38" s="91">
        <v>2509</v>
      </c>
      <c r="F38" s="181">
        <f t="shared" si="1"/>
        <v>3814</v>
      </c>
      <c r="I38" s="24"/>
      <c r="J38" s="3"/>
      <c r="K38" s="70"/>
      <c r="L38" s="24"/>
    </row>
    <row r="39" spans="2:12" ht="16.5" customHeight="1" x14ac:dyDescent="0.2">
      <c r="B39" s="888"/>
      <c r="C39" s="79" t="s">
        <v>60</v>
      </c>
      <c r="D39" s="91">
        <v>2349</v>
      </c>
      <c r="E39" s="91">
        <v>705</v>
      </c>
      <c r="F39" s="181">
        <f t="shared" si="1"/>
        <v>3054</v>
      </c>
      <c r="I39" s="24"/>
      <c r="J39" s="3"/>
      <c r="K39" s="70"/>
      <c r="L39" s="24"/>
    </row>
    <row r="40" spans="2:12" ht="16.5" customHeight="1" thickBot="1" x14ac:dyDescent="0.25">
      <c r="B40" s="889"/>
      <c r="C40" s="186" t="s">
        <v>19</v>
      </c>
      <c r="D40" s="187">
        <f>SUM(D32:D39)</f>
        <v>410843</v>
      </c>
      <c r="E40" s="187">
        <f>SUM(E32:E39)</f>
        <v>133709</v>
      </c>
      <c r="F40" s="188">
        <f t="shared" si="1"/>
        <v>544552</v>
      </c>
      <c r="I40" s="24"/>
      <c r="J40" s="3"/>
      <c r="K40" s="70"/>
      <c r="L40" s="24"/>
    </row>
    <row r="41" spans="2:12" ht="25" customHeight="1" thickBot="1" x14ac:dyDescent="0.25">
      <c r="B41" s="8"/>
      <c r="C41" s="15"/>
      <c r="D41" s="13"/>
      <c r="F41" s="3"/>
      <c r="G41" s="3"/>
      <c r="H41" s="39"/>
      <c r="I41" s="3"/>
      <c r="J41" s="3"/>
      <c r="K41" s="24"/>
    </row>
    <row r="42" spans="2:12" s="16" customFormat="1" ht="34" x14ac:dyDescent="0.2">
      <c r="B42" s="861" t="s">
        <v>61</v>
      </c>
      <c r="C42" s="299" t="s">
        <v>51</v>
      </c>
      <c r="D42" s="299" t="s">
        <v>63</v>
      </c>
      <c r="E42" s="299" t="s">
        <v>64</v>
      </c>
      <c r="F42" s="299" t="s">
        <v>65</v>
      </c>
      <c r="G42" s="300" t="s">
        <v>414</v>
      </c>
    </row>
    <row r="43" spans="2:12" x14ac:dyDescent="0.2">
      <c r="B43" s="862"/>
      <c r="C43" s="879" t="s">
        <v>53</v>
      </c>
      <c r="D43" s="872" t="s">
        <v>66</v>
      </c>
      <c r="E43" s="872" t="s">
        <v>67</v>
      </c>
      <c r="F43" s="144" t="s">
        <v>68</v>
      </c>
      <c r="G43" s="182">
        <v>50507</v>
      </c>
      <c r="I43" s="9"/>
    </row>
    <row r="44" spans="2:12" x14ac:dyDescent="0.2">
      <c r="B44" s="862"/>
      <c r="C44" s="879"/>
      <c r="D44" s="872"/>
      <c r="E44" s="872"/>
      <c r="F44" s="144" t="s">
        <v>72</v>
      </c>
      <c r="G44" s="182">
        <v>19974</v>
      </c>
      <c r="I44" s="9"/>
    </row>
    <row r="45" spans="2:12" x14ac:dyDescent="0.2">
      <c r="B45" s="862"/>
      <c r="C45" s="879"/>
      <c r="D45" s="872"/>
      <c r="E45" s="872"/>
      <c r="F45" s="144" t="s">
        <v>74</v>
      </c>
      <c r="G45" s="182">
        <v>24980</v>
      </c>
      <c r="I45" s="9"/>
    </row>
    <row r="46" spans="2:12" x14ac:dyDescent="0.2">
      <c r="B46" s="862"/>
      <c r="C46" s="879"/>
      <c r="D46" s="872"/>
      <c r="E46" s="872" t="s">
        <v>75</v>
      </c>
      <c r="F46" s="144" t="s">
        <v>68</v>
      </c>
      <c r="G46" s="182">
        <v>5430</v>
      </c>
      <c r="I46" s="9"/>
    </row>
    <row r="47" spans="2:12" x14ac:dyDescent="0.2">
      <c r="B47" s="862"/>
      <c r="C47" s="879"/>
      <c r="D47" s="872"/>
      <c r="E47" s="872"/>
      <c r="F47" s="144" t="s">
        <v>72</v>
      </c>
      <c r="G47" s="182">
        <v>34210</v>
      </c>
      <c r="I47" s="9"/>
    </row>
    <row r="48" spans="2:12" x14ac:dyDescent="0.2">
      <c r="B48" s="862"/>
      <c r="C48" s="879"/>
      <c r="D48" s="872"/>
      <c r="E48" s="872" t="s">
        <v>70</v>
      </c>
      <c r="F48" s="144" t="s">
        <v>68</v>
      </c>
      <c r="G48" s="182">
        <v>2309</v>
      </c>
      <c r="I48" s="9"/>
    </row>
    <row r="49" spans="2:22" x14ac:dyDescent="0.2">
      <c r="B49" s="862"/>
      <c r="C49" s="879"/>
      <c r="D49" s="872"/>
      <c r="E49" s="872"/>
      <c r="F49" s="144" t="s">
        <v>74</v>
      </c>
      <c r="G49" s="182">
        <v>7895</v>
      </c>
      <c r="I49" s="9"/>
    </row>
    <row r="50" spans="2:22" x14ac:dyDescent="0.2">
      <c r="B50" s="862"/>
      <c r="C50" s="275" t="s">
        <v>54</v>
      </c>
      <c r="D50" s="276" t="s">
        <v>66</v>
      </c>
      <c r="E50" s="276" t="s">
        <v>70</v>
      </c>
      <c r="F50" s="144" t="s">
        <v>72</v>
      </c>
      <c r="G50" s="183">
        <v>20324</v>
      </c>
      <c r="I50" s="9"/>
    </row>
    <row r="51" spans="2:22" x14ac:dyDescent="0.2">
      <c r="B51" s="862"/>
      <c r="C51" s="879" t="s">
        <v>55</v>
      </c>
      <c r="D51" s="872" t="s">
        <v>66</v>
      </c>
      <c r="E51" s="146" t="s">
        <v>67</v>
      </c>
      <c r="F51" s="144" t="s">
        <v>76</v>
      </c>
      <c r="G51" s="183">
        <v>35490</v>
      </c>
      <c r="I51" s="9"/>
    </row>
    <row r="52" spans="2:22" x14ac:dyDescent="0.2">
      <c r="B52" s="862"/>
      <c r="C52" s="879"/>
      <c r="D52" s="872"/>
      <c r="E52" s="146" t="s">
        <v>75</v>
      </c>
      <c r="F52" s="144" t="s">
        <v>76</v>
      </c>
      <c r="G52" s="183">
        <v>41322</v>
      </c>
      <c r="I52" s="9"/>
    </row>
    <row r="53" spans="2:22" x14ac:dyDescent="0.2">
      <c r="B53" s="862"/>
      <c r="C53" s="879"/>
      <c r="D53" s="872"/>
      <c r="E53" s="146" t="s">
        <v>70</v>
      </c>
      <c r="F53" s="144" t="s">
        <v>76</v>
      </c>
      <c r="G53" s="183">
        <v>158088</v>
      </c>
      <c r="I53" s="9"/>
    </row>
    <row r="54" spans="2:22" x14ac:dyDescent="0.2">
      <c r="B54" s="862"/>
      <c r="C54" s="275" t="s">
        <v>56</v>
      </c>
      <c r="D54" s="276" t="s">
        <v>66</v>
      </c>
      <c r="E54" s="146" t="s">
        <v>70</v>
      </c>
      <c r="F54" s="144" t="s">
        <v>77</v>
      </c>
      <c r="G54" s="315">
        <v>1251</v>
      </c>
      <c r="I54" s="9"/>
    </row>
    <row r="55" spans="2:22" x14ac:dyDescent="0.2">
      <c r="B55" s="862"/>
      <c r="C55" s="275" t="s">
        <v>59</v>
      </c>
      <c r="D55" s="276" t="s">
        <v>66</v>
      </c>
      <c r="E55" s="146" t="s">
        <v>78</v>
      </c>
      <c r="F55" s="144" t="s">
        <v>79</v>
      </c>
      <c r="G55" s="315">
        <v>1305</v>
      </c>
      <c r="I55" s="9"/>
    </row>
    <row r="56" spans="2:22" x14ac:dyDescent="0.2">
      <c r="B56" s="862"/>
      <c r="C56" s="275" t="s">
        <v>60</v>
      </c>
      <c r="D56" s="276" t="s">
        <v>66</v>
      </c>
      <c r="E56" s="146" t="s">
        <v>70</v>
      </c>
      <c r="F56" s="144" t="s">
        <v>81</v>
      </c>
      <c r="G56" s="183">
        <v>2349</v>
      </c>
      <c r="I56" s="9"/>
      <c r="N56" s="95"/>
      <c r="T56" s="4"/>
    </row>
    <row r="57" spans="2:22" x14ac:dyDescent="0.2">
      <c r="B57" s="862"/>
      <c r="C57" s="275" t="s">
        <v>57</v>
      </c>
      <c r="D57" s="276" t="s">
        <v>83</v>
      </c>
      <c r="E57" s="146" t="s">
        <v>70</v>
      </c>
      <c r="F57" s="144" t="s">
        <v>84</v>
      </c>
      <c r="G57" s="315">
        <v>5409</v>
      </c>
      <c r="I57" s="9"/>
      <c r="L57" s="3"/>
      <c r="N57" s="95"/>
      <c r="T57" s="4"/>
    </row>
    <row r="58" spans="2:22" x14ac:dyDescent="0.2">
      <c r="B58" s="862"/>
      <c r="C58" s="275" t="s">
        <v>58</v>
      </c>
      <c r="D58" s="276" t="s">
        <v>332</v>
      </c>
      <c r="E58" s="146" t="s">
        <v>332</v>
      </c>
      <c r="F58" s="144" t="s">
        <v>332</v>
      </c>
      <c r="G58" s="315" t="s">
        <v>332</v>
      </c>
      <c r="I58" s="9"/>
      <c r="N58" s="95"/>
      <c r="T58" s="96"/>
    </row>
    <row r="59" spans="2:22" ht="21.75" customHeight="1" thickBot="1" x14ac:dyDescent="0.25">
      <c r="B59" s="863"/>
      <c r="C59" s="303"/>
      <c r="D59" s="304"/>
      <c r="E59" s="305"/>
      <c r="F59" s="302" t="s">
        <v>52</v>
      </c>
      <c r="G59" s="316">
        <f>SUM(G43:G58)</f>
        <v>410843</v>
      </c>
      <c r="I59" s="9"/>
      <c r="O59" s="5"/>
      <c r="P59" s="95"/>
      <c r="V59" s="96"/>
    </row>
    <row r="60" spans="2:22" customFormat="1" ht="25" customHeight="1" thickBot="1" x14ac:dyDescent="0.25"/>
    <row r="61" spans="2:22" customFormat="1" ht="32.25" customHeight="1" x14ac:dyDescent="0.2">
      <c r="B61" s="861" t="s">
        <v>62</v>
      </c>
      <c r="C61" s="299" t="s">
        <v>51</v>
      </c>
      <c r="D61" s="299" t="s">
        <v>63</v>
      </c>
      <c r="E61" s="299" t="s">
        <v>64</v>
      </c>
      <c r="F61" s="299" t="s">
        <v>65</v>
      </c>
      <c r="G61" s="300" t="s">
        <v>52</v>
      </c>
    </row>
    <row r="62" spans="2:22" customFormat="1" x14ac:dyDescent="0.2">
      <c r="B62" s="862"/>
      <c r="C62" s="880" t="s">
        <v>53</v>
      </c>
      <c r="D62" s="883" t="s">
        <v>69</v>
      </c>
      <c r="E62" s="872" t="s">
        <v>70</v>
      </c>
      <c r="F62" s="221" t="s">
        <v>71</v>
      </c>
      <c r="G62" s="182">
        <v>23493</v>
      </c>
    </row>
    <row r="63" spans="2:22" customFormat="1" x14ac:dyDescent="0.2">
      <c r="B63" s="862"/>
      <c r="C63" s="881"/>
      <c r="D63" s="883"/>
      <c r="E63" s="872"/>
      <c r="F63" s="221" t="s">
        <v>73</v>
      </c>
      <c r="G63" s="182">
        <v>2005</v>
      </c>
    </row>
    <row r="64" spans="2:22" customFormat="1" x14ac:dyDescent="0.2">
      <c r="B64" s="862"/>
      <c r="C64" s="882"/>
      <c r="D64" s="883"/>
      <c r="E64" s="276" t="s">
        <v>75</v>
      </c>
      <c r="F64" s="221" t="s">
        <v>72</v>
      </c>
      <c r="G64" s="183">
        <v>9011</v>
      </c>
    </row>
    <row r="65" spans="2:22" customFormat="1" x14ac:dyDescent="0.2">
      <c r="B65" s="862"/>
      <c r="C65" s="275" t="s">
        <v>54</v>
      </c>
      <c r="D65" s="276" t="s">
        <v>332</v>
      </c>
      <c r="E65" s="146" t="s">
        <v>332</v>
      </c>
      <c r="F65" s="276" t="s">
        <v>332</v>
      </c>
      <c r="G65" s="402" t="s">
        <v>332</v>
      </c>
      <c r="H65" s="9"/>
    </row>
    <row r="66" spans="2:22" customFormat="1" x14ac:dyDescent="0.2">
      <c r="B66" s="862"/>
      <c r="C66" s="275" t="s">
        <v>55</v>
      </c>
      <c r="D66" s="301" t="s">
        <v>69</v>
      </c>
      <c r="E66" s="276" t="s">
        <v>75</v>
      </c>
      <c r="F66" s="221" t="s">
        <v>77</v>
      </c>
      <c r="G66" s="183">
        <v>3209</v>
      </c>
    </row>
    <row r="67" spans="2:22" customFormat="1" x14ac:dyDescent="0.2">
      <c r="B67" s="862"/>
      <c r="C67" s="275" t="s">
        <v>56</v>
      </c>
      <c r="D67" s="276" t="s">
        <v>332</v>
      </c>
      <c r="E67" s="146" t="s">
        <v>332</v>
      </c>
      <c r="F67" s="276" t="s">
        <v>332</v>
      </c>
      <c r="G67" s="402" t="s">
        <v>332</v>
      </c>
      <c r="H67" s="9"/>
    </row>
    <row r="68" spans="2:22" customFormat="1" x14ac:dyDescent="0.2">
      <c r="B68" s="862"/>
      <c r="C68" s="275" t="s">
        <v>59</v>
      </c>
      <c r="D68" s="301" t="s">
        <v>69</v>
      </c>
      <c r="E68" s="276" t="s">
        <v>78</v>
      </c>
      <c r="F68" s="221" t="s">
        <v>80</v>
      </c>
      <c r="G68" s="183">
        <v>2509</v>
      </c>
    </row>
    <row r="69" spans="2:22" customFormat="1" x14ac:dyDescent="0.2">
      <c r="B69" s="862"/>
      <c r="C69" s="275" t="s">
        <v>60</v>
      </c>
      <c r="D69" s="301" t="s">
        <v>69</v>
      </c>
      <c r="E69" s="276" t="s">
        <v>70</v>
      </c>
      <c r="F69" s="221" t="s">
        <v>82</v>
      </c>
      <c r="G69" s="183">
        <v>705</v>
      </c>
    </row>
    <row r="70" spans="2:22" customFormat="1" x14ac:dyDescent="0.2">
      <c r="B70" s="862"/>
      <c r="C70" s="879" t="s">
        <v>57</v>
      </c>
      <c r="D70" s="883" t="s">
        <v>69</v>
      </c>
      <c r="E70" s="146" t="s">
        <v>70</v>
      </c>
      <c r="F70" s="221" t="s">
        <v>85</v>
      </c>
      <c r="G70" s="183">
        <v>2430</v>
      </c>
    </row>
    <row r="71" spans="2:22" customFormat="1" x14ac:dyDescent="0.2">
      <c r="B71" s="862"/>
      <c r="C71" s="879"/>
      <c r="D71" s="872"/>
      <c r="E71" s="146" t="s">
        <v>75</v>
      </c>
      <c r="F71" s="221" t="s">
        <v>84</v>
      </c>
      <c r="G71" s="183">
        <v>16651</v>
      </c>
    </row>
    <row r="72" spans="2:22" customFormat="1" x14ac:dyDescent="0.2">
      <c r="B72" s="862"/>
      <c r="C72" s="879"/>
      <c r="D72" s="872"/>
      <c r="E72" s="146" t="s">
        <v>70</v>
      </c>
      <c r="F72" s="221" t="s">
        <v>86</v>
      </c>
      <c r="G72" s="183">
        <v>66907</v>
      </c>
    </row>
    <row r="73" spans="2:22" customFormat="1" x14ac:dyDescent="0.2">
      <c r="B73" s="862"/>
      <c r="C73" s="275" t="s">
        <v>58</v>
      </c>
      <c r="D73" s="276" t="s">
        <v>69</v>
      </c>
      <c r="E73" s="276" t="s">
        <v>70</v>
      </c>
      <c r="F73" s="221" t="s">
        <v>71</v>
      </c>
      <c r="G73" s="183">
        <v>6789</v>
      </c>
    </row>
    <row r="74" spans="2:22" customFormat="1" ht="21.75" customHeight="1" thickBot="1" x14ac:dyDescent="0.25">
      <c r="B74" s="863"/>
      <c r="C74" s="303"/>
      <c r="D74" s="885"/>
      <c r="E74" s="886"/>
      <c r="F74" s="184" t="s">
        <v>52</v>
      </c>
      <c r="G74" s="185">
        <f>SUM(G62:G73)</f>
        <v>133709</v>
      </c>
    </row>
    <row r="75" spans="2:22" customFormat="1" ht="25" customHeight="1" thickBot="1" x14ac:dyDescent="0.25"/>
    <row r="76" spans="2:22" s="24" customFormat="1" ht="24" customHeight="1" x14ac:dyDescent="0.2">
      <c r="B76" s="873" t="s">
        <v>87</v>
      </c>
      <c r="C76" s="306" t="s">
        <v>63</v>
      </c>
      <c r="D76" s="307" t="s">
        <v>88</v>
      </c>
      <c r="E76" s="282" t="s">
        <v>89</v>
      </c>
      <c r="F76" s="282" t="s">
        <v>90</v>
      </c>
      <c r="G76" s="282" t="s">
        <v>91</v>
      </c>
      <c r="H76" s="282" t="s">
        <v>92</v>
      </c>
      <c r="I76" s="282" t="s">
        <v>93</v>
      </c>
      <c r="J76" s="307" t="s">
        <v>94</v>
      </c>
      <c r="K76" s="307" t="s">
        <v>95</v>
      </c>
      <c r="L76" s="141" t="s">
        <v>96</v>
      </c>
      <c r="O76" s="22"/>
      <c r="P76" s="54"/>
      <c r="V76" s="97"/>
    </row>
    <row r="77" spans="2:22" s="24" customFormat="1" ht="15" customHeight="1" x14ac:dyDescent="0.2">
      <c r="B77" s="874"/>
      <c r="C77" s="94" t="s">
        <v>66</v>
      </c>
      <c r="D77" s="90" t="s">
        <v>97</v>
      </c>
      <c r="E77" s="94" t="s">
        <v>67</v>
      </c>
      <c r="F77" s="93" t="s">
        <v>98</v>
      </c>
      <c r="G77" s="98">
        <f>0.47*G43</f>
        <v>23738.289999999997</v>
      </c>
      <c r="H77" s="98">
        <f>0.25*G77</f>
        <v>5934.5724999999993</v>
      </c>
      <c r="I77" s="223">
        <f>0.25*G77</f>
        <v>5934.5724999999993</v>
      </c>
      <c r="J77" s="98">
        <f>0.5*G77</f>
        <v>11869.144999999999</v>
      </c>
      <c r="K77" s="90" t="s">
        <v>99</v>
      </c>
      <c r="L77" s="876" t="s">
        <v>100</v>
      </c>
      <c r="O77" s="22"/>
      <c r="P77" s="54"/>
      <c r="V77" s="97"/>
    </row>
    <row r="78" spans="2:22" s="24" customFormat="1" ht="15" customHeight="1" x14ac:dyDescent="0.2">
      <c r="B78" s="874"/>
      <c r="C78" s="94" t="s">
        <v>66</v>
      </c>
      <c r="D78" s="224" t="s">
        <v>97</v>
      </c>
      <c r="E78" s="94" t="s">
        <v>67</v>
      </c>
      <c r="F78" s="93" t="s">
        <v>101</v>
      </c>
      <c r="G78" s="98">
        <f>0.36*G43</f>
        <v>18182.52</v>
      </c>
      <c r="H78" s="98">
        <f>0.2*G78</f>
        <v>3636.5040000000004</v>
      </c>
      <c r="I78" s="223">
        <f>0.6*G78</f>
        <v>10909.512000000001</v>
      </c>
      <c r="J78" s="98">
        <f>0.2*G78</f>
        <v>3636.5040000000004</v>
      </c>
      <c r="K78" s="90" t="s">
        <v>102</v>
      </c>
      <c r="L78" s="877"/>
      <c r="O78" s="22"/>
      <c r="P78" s="54"/>
      <c r="V78" s="97"/>
    </row>
    <row r="79" spans="2:22" s="24" customFormat="1" ht="15" customHeight="1" x14ac:dyDescent="0.2">
      <c r="B79" s="874"/>
      <c r="C79" s="94" t="s">
        <v>66</v>
      </c>
      <c r="D79" s="225" t="s">
        <v>97</v>
      </c>
      <c r="E79" s="94" t="s">
        <v>67</v>
      </c>
      <c r="F79" s="93" t="s">
        <v>103</v>
      </c>
      <c r="G79" s="98">
        <f>0.17*G43</f>
        <v>8586.19</v>
      </c>
      <c r="H79" s="98">
        <f>1*G79</f>
        <v>8586.19</v>
      </c>
      <c r="I79" s="223">
        <f>0*G79</f>
        <v>0</v>
      </c>
      <c r="J79" s="98">
        <f>0*G79</f>
        <v>0</v>
      </c>
      <c r="K79" s="90" t="s">
        <v>104</v>
      </c>
      <c r="L79" s="877"/>
      <c r="O79" s="22"/>
      <c r="P79" s="54"/>
      <c r="V79" s="97"/>
    </row>
    <row r="80" spans="2:22" s="24" customFormat="1" ht="15" customHeight="1" x14ac:dyDescent="0.2">
      <c r="B80" s="874"/>
      <c r="C80" s="94" t="s">
        <v>66</v>
      </c>
      <c r="D80" s="90" t="s">
        <v>97</v>
      </c>
      <c r="E80" s="94" t="s">
        <v>75</v>
      </c>
      <c r="F80" s="93" t="s">
        <v>105</v>
      </c>
      <c r="G80" s="98">
        <f>0.78*G46</f>
        <v>4235.4000000000005</v>
      </c>
      <c r="H80" s="98">
        <f>1*G80</f>
        <v>4235.4000000000005</v>
      </c>
      <c r="I80" s="223">
        <f>0*G80</f>
        <v>0</v>
      </c>
      <c r="J80" s="98">
        <f>0*G80</f>
        <v>0</v>
      </c>
      <c r="K80" s="90" t="s">
        <v>106</v>
      </c>
      <c r="L80" s="877"/>
      <c r="O80" s="22"/>
      <c r="P80" s="54"/>
      <c r="V80" s="97"/>
    </row>
    <row r="81" spans="2:24" s="24" customFormat="1" ht="15" customHeight="1" x14ac:dyDescent="0.2">
      <c r="B81" s="874"/>
      <c r="C81" s="94" t="s">
        <v>66</v>
      </c>
      <c r="D81" s="90" t="s">
        <v>97</v>
      </c>
      <c r="E81" s="94" t="s">
        <v>75</v>
      </c>
      <c r="F81" s="93" t="s">
        <v>103</v>
      </c>
      <c r="G81" s="98">
        <f>0.22*G46</f>
        <v>1194.5999999999999</v>
      </c>
      <c r="H81" s="98">
        <f>1*G81</f>
        <v>1194.5999999999999</v>
      </c>
      <c r="I81" s="223">
        <f>0*G81</f>
        <v>0</v>
      </c>
      <c r="J81" s="98">
        <f>0*G81</f>
        <v>0</v>
      </c>
      <c r="K81" s="90" t="s">
        <v>107</v>
      </c>
      <c r="L81" s="877"/>
      <c r="O81" s="22"/>
      <c r="P81" s="54"/>
      <c r="V81" s="97"/>
    </row>
    <row r="82" spans="2:24" s="24" customFormat="1" ht="15" customHeight="1" thickBot="1" x14ac:dyDescent="0.25">
      <c r="B82" s="875"/>
      <c r="C82" s="139" t="s">
        <v>66</v>
      </c>
      <c r="D82" s="226" t="s">
        <v>97</v>
      </c>
      <c r="E82" s="139" t="s">
        <v>70</v>
      </c>
      <c r="F82" s="227" t="s">
        <v>101</v>
      </c>
      <c r="G82" s="171">
        <f>1*G48</f>
        <v>2309</v>
      </c>
      <c r="H82" s="171">
        <f>0.5*G82</f>
        <v>1154.5</v>
      </c>
      <c r="I82" s="228">
        <f>0.4*G82</f>
        <v>923.6</v>
      </c>
      <c r="J82" s="171">
        <f>0.1*G82</f>
        <v>230.9</v>
      </c>
      <c r="K82" s="226" t="s">
        <v>108</v>
      </c>
      <c r="L82" s="878"/>
      <c r="O82" s="22"/>
      <c r="P82" s="54"/>
      <c r="V82" s="97"/>
    </row>
    <row r="83" spans="2:24" ht="25" customHeight="1" thickBot="1" x14ac:dyDescent="0.25">
      <c r="B83" s="8"/>
      <c r="C83" s="15"/>
      <c r="D83" s="13"/>
      <c r="I83" s="9"/>
      <c r="K83" s="3"/>
      <c r="O83" s="99"/>
      <c r="V83" s="96"/>
    </row>
    <row r="84" spans="2:24" ht="37.5" customHeight="1" x14ac:dyDescent="0.2">
      <c r="B84" s="861" t="s">
        <v>757</v>
      </c>
      <c r="C84" s="308" t="s">
        <v>109</v>
      </c>
      <c r="D84" s="308" t="s">
        <v>110</v>
      </c>
      <c r="E84" s="527" t="s">
        <v>610</v>
      </c>
      <c r="F84" s="525" t="s">
        <v>111</v>
      </c>
      <c r="I84" s="9"/>
      <c r="Q84" s="99"/>
      <c r="X84" s="96"/>
    </row>
    <row r="85" spans="2:24" ht="64.5" customHeight="1" x14ac:dyDescent="0.2">
      <c r="B85" s="862"/>
      <c r="C85" s="155" t="s">
        <v>112</v>
      </c>
      <c r="D85" s="189" t="s">
        <v>788</v>
      </c>
      <c r="E85" s="528">
        <v>218.6</v>
      </c>
      <c r="F85" s="526">
        <f>E85*0.46*2</f>
        <v>201.11199999999999</v>
      </c>
      <c r="I85" s="9"/>
      <c r="Q85" s="99"/>
      <c r="X85" s="96"/>
    </row>
    <row r="86" spans="2:24" ht="20.25" customHeight="1" x14ac:dyDescent="0.2">
      <c r="B86" s="862"/>
      <c r="C86" s="155" t="s">
        <v>113</v>
      </c>
      <c r="D86" s="189" t="s">
        <v>114</v>
      </c>
      <c r="E86" s="528">
        <v>188</v>
      </c>
      <c r="F86" s="526">
        <f>E86*0.18*2</f>
        <v>67.679999999999993</v>
      </c>
      <c r="I86" s="9"/>
      <c r="Q86" s="99"/>
      <c r="X86" s="96"/>
    </row>
    <row r="87" spans="2:24" ht="23.25" customHeight="1" thickBot="1" x14ac:dyDescent="0.25">
      <c r="B87" s="863"/>
      <c r="C87" s="190"/>
      <c r="D87" s="222"/>
      <c r="E87" s="222" t="s">
        <v>115</v>
      </c>
      <c r="F87" s="283">
        <f>SUM(F85:F86)</f>
        <v>268.79199999999997</v>
      </c>
      <c r="I87" s="9"/>
      <c r="Q87" s="99"/>
      <c r="X87" s="96"/>
    </row>
    <row r="88" spans="2:24" ht="25" customHeight="1" thickBot="1" x14ac:dyDescent="0.25">
      <c r="B88"/>
      <c r="C88" s="15"/>
      <c r="D88" s="13"/>
      <c r="I88" s="9"/>
      <c r="O88" s="99"/>
      <c r="V88" s="96"/>
    </row>
    <row r="89" spans="2:24" ht="21.75" customHeight="1" x14ac:dyDescent="0.2">
      <c r="B89" s="861" t="s">
        <v>758</v>
      </c>
      <c r="C89" s="864" t="s">
        <v>109</v>
      </c>
      <c r="D89" s="864" t="s">
        <v>110</v>
      </c>
      <c r="E89" s="866" t="s">
        <v>610</v>
      </c>
      <c r="F89" s="868" t="s">
        <v>111</v>
      </c>
      <c r="I89" s="9"/>
      <c r="O89" s="99"/>
      <c r="V89" s="96"/>
    </row>
    <row r="90" spans="2:24" ht="21.75" customHeight="1" x14ac:dyDescent="0.2">
      <c r="B90" s="862"/>
      <c r="C90" s="865"/>
      <c r="D90" s="865"/>
      <c r="E90" s="867"/>
      <c r="F90" s="869"/>
      <c r="I90" s="9"/>
      <c r="O90" s="99"/>
      <c r="V90" s="96"/>
    </row>
    <row r="91" spans="2:24" ht="21.75" customHeight="1" x14ac:dyDescent="0.2">
      <c r="B91" s="862"/>
      <c r="C91" s="155" t="s">
        <v>112</v>
      </c>
      <c r="D91" s="155" t="s">
        <v>608</v>
      </c>
      <c r="E91" s="284">
        <v>109</v>
      </c>
      <c r="F91" s="168">
        <f>E91*0.46</f>
        <v>50.14</v>
      </c>
      <c r="I91" s="9"/>
      <c r="O91" s="99"/>
      <c r="V91" s="96"/>
    </row>
    <row r="92" spans="2:24" ht="21.75" customHeight="1" thickBot="1" x14ac:dyDescent="0.25">
      <c r="B92" s="863"/>
      <c r="C92" s="870"/>
      <c r="D92" s="871"/>
      <c r="E92" s="222" t="s">
        <v>115</v>
      </c>
      <c r="F92" s="191">
        <f>SUM(F90:F91)</f>
        <v>50.14</v>
      </c>
      <c r="G92" s="99"/>
      <c r="I92" s="9"/>
      <c r="N92" s="96"/>
    </row>
    <row r="93" spans="2:24" ht="15.75" customHeight="1" x14ac:dyDescent="0.2">
      <c r="E93" s="3"/>
      <c r="G93" s="100"/>
      <c r="I93" s="9"/>
      <c r="N93" s="96"/>
    </row>
    <row r="94" spans="2:24" ht="17" thickBot="1" x14ac:dyDescent="0.25">
      <c r="E94" s="3"/>
      <c r="G94" s="100"/>
      <c r="I94" s="9"/>
      <c r="N94" s="96"/>
    </row>
    <row r="95" spans="2:24" ht="16" customHeight="1" x14ac:dyDescent="0.2">
      <c r="B95" s="861" t="s">
        <v>759</v>
      </c>
      <c r="C95" s="416" t="s">
        <v>760</v>
      </c>
      <c r="D95" s="416" t="s">
        <v>127</v>
      </c>
      <c r="E95" s="3"/>
      <c r="G95" s="99"/>
      <c r="I95" s="9"/>
      <c r="N95" s="96"/>
    </row>
    <row r="96" spans="2:24" ht="21.75" customHeight="1" x14ac:dyDescent="0.2">
      <c r="B96" s="862"/>
      <c r="C96" s="155" t="s">
        <v>761</v>
      </c>
      <c r="D96" s="155" t="s">
        <v>762</v>
      </c>
      <c r="E96" s="3"/>
      <c r="G96" s="100"/>
      <c r="I96" s="9"/>
      <c r="N96" s="96"/>
    </row>
    <row r="97" spans="2:14" ht="21.75" customHeight="1" x14ac:dyDescent="0.2">
      <c r="B97" s="862"/>
      <c r="C97" s="155" t="s">
        <v>763</v>
      </c>
      <c r="D97" s="155" t="s">
        <v>764</v>
      </c>
      <c r="E97" s="3"/>
      <c r="G97" s="95"/>
      <c r="I97" s="9"/>
      <c r="N97" s="96"/>
    </row>
    <row r="98" spans="2:14" ht="21.75" customHeight="1" x14ac:dyDescent="0.2">
      <c r="B98" s="862"/>
      <c r="C98" s="155" t="s">
        <v>765</v>
      </c>
      <c r="D98" s="155" t="s">
        <v>766</v>
      </c>
      <c r="I98" s="9"/>
      <c r="N98" s="96"/>
    </row>
    <row r="99" spans="2:14" ht="21.75" customHeight="1" x14ac:dyDescent="0.2">
      <c r="B99" s="862"/>
      <c r="C99" s="155" t="s">
        <v>767</v>
      </c>
      <c r="D99" s="155" t="s">
        <v>768</v>
      </c>
      <c r="I99" s="9"/>
      <c r="N99" s="96"/>
    </row>
    <row r="100" spans="2:14" ht="34" x14ac:dyDescent="0.2">
      <c r="B100" s="862"/>
      <c r="C100" s="155" t="s">
        <v>774</v>
      </c>
      <c r="D100" s="155" t="s">
        <v>769</v>
      </c>
      <c r="I100" s="9"/>
    </row>
    <row r="101" spans="2:14" ht="21.75" customHeight="1" x14ac:dyDescent="0.2">
      <c r="B101" s="862"/>
      <c r="C101" s="155" t="s">
        <v>770</v>
      </c>
      <c r="D101" s="155" t="s">
        <v>771</v>
      </c>
      <c r="I101" s="9"/>
    </row>
    <row r="102" spans="2:14" ht="21.75" customHeight="1" thickBot="1" x14ac:dyDescent="0.25">
      <c r="B102" s="863"/>
      <c r="C102" s="155" t="s">
        <v>772</v>
      </c>
      <c r="D102" s="155" t="s">
        <v>773</v>
      </c>
      <c r="I102" s="9"/>
    </row>
    <row r="103" spans="2:14" x14ac:dyDescent="0.2">
      <c r="D103" s="101"/>
      <c r="I103" s="9"/>
    </row>
    <row r="104" spans="2:14" x14ac:dyDescent="0.2">
      <c r="B104" s="101"/>
      <c r="C104" s="101"/>
      <c r="D104" s="101"/>
      <c r="I104" s="9"/>
    </row>
    <row r="105" spans="2:14" x14ac:dyDescent="0.2">
      <c r="B105" s="101"/>
      <c r="C105" s="101"/>
      <c r="D105" s="101"/>
      <c r="I105" s="9"/>
    </row>
    <row r="106" spans="2:14" x14ac:dyDescent="0.2">
      <c r="B106" s="101"/>
      <c r="C106" s="101"/>
      <c r="D106" s="101"/>
      <c r="I106" s="9"/>
    </row>
    <row r="107" spans="2:14" x14ac:dyDescent="0.2">
      <c r="B107" s="101"/>
      <c r="C107" s="101"/>
      <c r="D107" s="101"/>
      <c r="I107" s="9"/>
    </row>
    <row r="108" spans="2:14" x14ac:dyDescent="0.2">
      <c r="I108" s="9"/>
    </row>
    <row r="109" spans="2:14" x14ac:dyDescent="0.2">
      <c r="I109" s="9"/>
    </row>
    <row r="110" spans="2:14" x14ac:dyDescent="0.2">
      <c r="I110" s="9"/>
    </row>
    <row r="111" spans="2:14" x14ac:dyDescent="0.2">
      <c r="I111" s="9"/>
    </row>
    <row r="112" spans="2:14" x14ac:dyDescent="0.2">
      <c r="I112" s="9"/>
    </row>
    <row r="113" spans="9:9" x14ac:dyDescent="0.2">
      <c r="I113" s="9"/>
    </row>
    <row r="114" spans="9:9" x14ac:dyDescent="0.2">
      <c r="I114" s="9"/>
    </row>
    <row r="115" spans="9:9" x14ac:dyDescent="0.2">
      <c r="I115" s="9"/>
    </row>
    <row r="116" spans="9:9" x14ac:dyDescent="0.2">
      <c r="I116" s="9"/>
    </row>
    <row r="117" spans="9:9" x14ac:dyDescent="0.2">
      <c r="I117" s="9"/>
    </row>
    <row r="118" spans="9:9" x14ac:dyDescent="0.2">
      <c r="I118" s="9"/>
    </row>
    <row r="119" spans="9:9" x14ac:dyDescent="0.2">
      <c r="I119" s="9"/>
    </row>
    <row r="120" spans="9:9" x14ac:dyDescent="0.2">
      <c r="I120" s="9"/>
    </row>
    <row r="121" spans="9:9" x14ac:dyDescent="0.2">
      <c r="I121" s="9"/>
    </row>
    <row r="122" spans="9:9" x14ac:dyDescent="0.2">
      <c r="I122" s="9"/>
    </row>
    <row r="123" spans="9:9" x14ac:dyDescent="0.2">
      <c r="I123" s="9"/>
    </row>
    <row r="124" spans="9:9" x14ac:dyDescent="0.2">
      <c r="I124" s="9"/>
    </row>
    <row r="125" spans="9:9" x14ac:dyDescent="0.2">
      <c r="I125" s="9"/>
    </row>
    <row r="135" spans="3:5" x14ac:dyDescent="0.2">
      <c r="C135" s="7"/>
      <c r="D135" s="7"/>
      <c r="E135" s="8"/>
    </row>
    <row r="136" spans="3:5" x14ac:dyDescent="0.2">
      <c r="C136" s="7"/>
      <c r="D136" s="7"/>
      <c r="E136" s="8"/>
    </row>
    <row r="137" spans="3:5" x14ac:dyDescent="0.2">
      <c r="C137" s="7"/>
      <c r="D137" s="7"/>
      <c r="E137" s="8"/>
    </row>
    <row r="138" spans="3:5" x14ac:dyDescent="0.2">
      <c r="D138" s="7"/>
      <c r="E138" s="8"/>
    </row>
    <row r="139" spans="3:5" x14ac:dyDescent="0.2">
      <c r="C139" s="7"/>
      <c r="D139" s="7"/>
      <c r="E139" s="8"/>
    </row>
    <row r="140" spans="3:5" x14ac:dyDescent="0.2">
      <c r="C140" s="7"/>
      <c r="D140" s="7"/>
      <c r="E140" s="8"/>
    </row>
    <row r="141" spans="3:5" x14ac:dyDescent="0.2">
      <c r="C141" s="7"/>
      <c r="D141" s="7"/>
      <c r="E141" s="8"/>
    </row>
    <row r="142" spans="3:5" x14ac:dyDescent="0.2">
      <c r="C142" s="7"/>
      <c r="D142" s="7"/>
      <c r="E142" s="8"/>
    </row>
    <row r="143" spans="3:5" x14ac:dyDescent="0.2">
      <c r="C143" s="7"/>
      <c r="D143" s="7"/>
      <c r="E143" s="8"/>
    </row>
    <row r="144" spans="3:5" x14ac:dyDescent="0.2">
      <c r="C144" s="7"/>
      <c r="D144" s="7"/>
      <c r="E144" s="8"/>
    </row>
    <row r="145" spans="3:5" x14ac:dyDescent="0.2">
      <c r="C145" s="7"/>
      <c r="D145" s="7"/>
      <c r="E145" s="8"/>
    </row>
  </sheetData>
  <mergeCells count="34">
    <mergeCell ref="B95:B102"/>
    <mergeCell ref="B2:F2"/>
    <mergeCell ref="D74:E74"/>
    <mergeCell ref="B18:B22"/>
    <mergeCell ref="B3:B10"/>
    <mergeCell ref="C3:C4"/>
    <mergeCell ref="D3:F3"/>
    <mergeCell ref="B12:B16"/>
    <mergeCell ref="F13:F15"/>
    <mergeCell ref="B24:B29"/>
    <mergeCell ref="B31:B40"/>
    <mergeCell ref="B42:B59"/>
    <mergeCell ref="C43:C49"/>
    <mergeCell ref="D43:D49"/>
    <mergeCell ref="E43:E45"/>
    <mergeCell ref="E46:E47"/>
    <mergeCell ref="E48:E49"/>
    <mergeCell ref="B76:B82"/>
    <mergeCell ref="L77:L82"/>
    <mergeCell ref="B84:B87"/>
    <mergeCell ref="B61:B74"/>
    <mergeCell ref="C70:C72"/>
    <mergeCell ref="C62:C64"/>
    <mergeCell ref="C51:C53"/>
    <mergeCell ref="D51:D53"/>
    <mergeCell ref="D70:D72"/>
    <mergeCell ref="D62:D64"/>
    <mergeCell ref="E62:E63"/>
    <mergeCell ref="B89:B92"/>
    <mergeCell ref="C89:C90"/>
    <mergeCell ref="D89:D90"/>
    <mergeCell ref="E89:E90"/>
    <mergeCell ref="F89:F90"/>
    <mergeCell ref="C92:D92"/>
  </mergeCells>
  <pageMargins left="0.7" right="0.7" top="0.75" bottom="0.75" header="0.3" footer="0.3"/>
  <pageSetup paperSize="9" orientation="portrait" r:id="rId1"/>
  <ignoredErrors>
    <ignoredError sqref="D1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C6541-D4DE-455D-A3CE-C8C9AE4BE9D4}">
  <sheetPr>
    <tabColor rgb="FF404040"/>
  </sheetPr>
  <dimension ref="A1:P222"/>
  <sheetViews>
    <sheetView showGridLines="0" topLeftCell="A11" workbookViewId="0">
      <selection activeCell="B28" sqref="B28"/>
    </sheetView>
  </sheetViews>
  <sheetFormatPr baseColWidth="10" defaultColWidth="11" defaultRowHeight="16" x14ac:dyDescent="0.2"/>
  <cols>
    <col min="1" max="1" width="7.6640625" style="8" customWidth="1"/>
    <col min="2" max="2" width="54.1640625" style="42" customWidth="1"/>
    <col min="3" max="3" width="16" style="8" customWidth="1"/>
    <col min="4" max="4" width="23.5" style="8" customWidth="1"/>
    <col min="5" max="5" width="16.1640625" style="8" bestFit="1" customWidth="1"/>
    <col min="6" max="6" width="18.6640625" style="24" bestFit="1" customWidth="1"/>
    <col min="7" max="9" width="16.1640625" style="24" bestFit="1" customWidth="1"/>
    <col min="10" max="10" width="20.6640625" style="24" customWidth="1"/>
    <col min="11" max="11" width="18.6640625" style="24" bestFit="1" customWidth="1"/>
    <col min="12" max="13" width="16.1640625" style="24" bestFit="1" customWidth="1"/>
    <col min="14" max="14" width="19.1640625" style="24" customWidth="1"/>
    <col min="15" max="15" width="46.83203125" style="8" bestFit="1" customWidth="1"/>
    <col min="16" max="16" width="17.6640625" style="24" bestFit="1" customWidth="1"/>
    <col min="17" max="17" width="19.5" style="24" customWidth="1"/>
    <col min="18" max="16384" width="11" style="24"/>
  </cols>
  <sheetData>
    <row r="1" spans="1:15" s="314" customFormat="1" ht="35" customHeight="1" x14ac:dyDescent="0.2">
      <c r="A1" s="335"/>
      <c r="B1" s="309" t="s">
        <v>116</v>
      </c>
      <c r="C1" s="309"/>
      <c r="D1" s="309"/>
      <c r="E1" s="309"/>
      <c r="F1" s="309"/>
      <c r="G1" s="310"/>
      <c r="H1" s="311"/>
      <c r="I1" s="309"/>
      <c r="J1" s="312"/>
      <c r="K1" s="312"/>
      <c r="L1" s="309"/>
      <c r="M1" s="312"/>
      <c r="N1" s="313"/>
      <c r="O1" s="313"/>
    </row>
    <row r="2" spans="1:15" customFormat="1" ht="46.5" customHeight="1" x14ac:dyDescent="0.2">
      <c r="A2" s="1"/>
      <c r="B2" s="884" t="s">
        <v>820</v>
      </c>
      <c r="C2" s="884"/>
      <c r="D2" s="884"/>
      <c r="E2" s="884"/>
      <c r="F2" s="884"/>
      <c r="G2" s="884"/>
    </row>
    <row r="3" spans="1:15" customFormat="1" ht="17" x14ac:dyDescent="0.2">
      <c r="A3" s="1"/>
      <c r="B3" s="374" t="s">
        <v>818</v>
      </c>
      <c r="C3" s="535" t="s">
        <v>858</v>
      </c>
      <c r="D3" s="374"/>
      <c r="E3" s="374"/>
      <c r="F3" s="374"/>
      <c r="G3" s="374"/>
    </row>
    <row r="4" spans="1:15" customFormat="1" ht="17" x14ac:dyDescent="0.2">
      <c r="A4" s="1"/>
      <c r="B4" s="374" t="s">
        <v>819</v>
      </c>
      <c r="C4" s="847" t="s">
        <v>862</v>
      </c>
      <c r="D4" s="374"/>
      <c r="E4" s="374"/>
      <c r="F4" s="374"/>
      <c r="G4" s="374"/>
    </row>
    <row r="5" spans="1:15" customFormat="1" ht="17" x14ac:dyDescent="0.2">
      <c r="A5" s="1"/>
      <c r="B5" s="374" t="s">
        <v>859</v>
      </c>
      <c r="C5" s="374"/>
      <c r="D5" s="374"/>
      <c r="E5" s="374"/>
      <c r="F5" s="374"/>
      <c r="G5" s="374"/>
    </row>
    <row r="6" spans="1:15" customFormat="1" x14ac:dyDescent="0.2">
      <c r="A6" s="1"/>
      <c r="B6" s="374"/>
      <c r="C6" s="374"/>
      <c r="D6" s="374"/>
      <c r="E6" s="374"/>
      <c r="F6" s="374"/>
      <c r="G6" s="374"/>
    </row>
    <row r="7" spans="1:15" s="317" customFormat="1" ht="18" x14ac:dyDescent="0.2">
      <c r="A7" s="336">
        <v>1</v>
      </c>
      <c r="B7" s="346" t="s">
        <v>622</v>
      </c>
      <c r="C7" s="318"/>
      <c r="D7" s="318"/>
      <c r="E7" s="318"/>
      <c r="F7" s="318"/>
      <c r="G7" s="319"/>
      <c r="H7" s="320"/>
      <c r="I7" s="321"/>
      <c r="J7" s="322"/>
      <c r="K7" s="322"/>
      <c r="L7" s="321"/>
      <c r="M7" s="322"/>
      <c r="N7" s="323"/>
      <c r="O7" s="323"/>
    </row>
    <row r="8" spans="1:15" s="42" customFormat="1" ht="66.75" customHeight="1" x14ac:dyDescent="0.2">
      <c r="A8" s="17"/>
      <c r="B8" s="903" t="s">
        <v>825</v>
      </c>
      <c r="C8" s="903"/>
      <c r="D8" s="903"/>
      <c r="E8" s="903"/>
      <c r="F8" s="903"/>
      <c r="G8" s="903"/>
      <c r="O8" s="17"/>
    </row>
    <row r="9" spans="1:15" s="42" customFormat="1" ht="18" customHeight="1" x14ac:dyDescent="0.2">
      <c r="A9" s="17"/>
      <c r="B9" s="409" t="s">
        <v>740</v>
      </c>
      <c r="C9" s="374"/>
      <c r="D9" s="374"/>
      <c r="E9" s="374"/>
      <c r="F9" s="374"/>
      <c r="G9" s="374"/>
      <c r="O9" s="17"/>
    </row>
    <row r="10" spans="1:15" customFormat="1" x14ac:dyDescent="0.2">
      <c r="A10" s="1"/>
      <c r="B10" s="409" t="s">
        <v>741</v>
      </c>
    </row>
    <row r="11" spans="1:15" customFormat="1" ht="17" thickBot="1" x14ac:dyDescent="0.25">
      <c r="A11" s="1"/>
      <c r="B11" s="409"/>
    </row>
    <row r="12" spans="1:15" ht="18" x14ac:dyDescent="0.2">
      <c r="B12" s="904" t="s">
        <v>623</v>
      </c>
      <c r="C12" s="905"/>
      <c r="D12" s="905"/>
      <c r="E12" s="898" t="s">
        <v>118</v>
      </c>
      <c r="F12" s="900" t="s">
        <v>738</v>
      </c>
      <c r="G12"/>
      <c r="H12"/>
      <c r="I12"/>
    </row>
    <row r="13" spans="1:15" ht="17" x14ac:dyDescent="0.2">
      <c r="B13" s="631" t="s">
        <v>117</v>
      </c>
      <c r="C13" s="327" t="s">
        <v>120</v>
      </c>
      <c r="D13" s="327" t="s">
        <v>121</v>
      </c>
      <c r="E13" s="899"/>
      <c r="F13" s="901" t="s">
        <v>122</v>
      </c>
      <c r="G13"/>
      <c r="H13"/>
      <c r="I13"/>
    </row>
    <row r="14" spans="1:15" ht="17" x14ac:dyDescent="0.2">
      <c r="B14" s="632" t="s">
        <v>123</v>
      </c>
      <c r="C14" s="328">
        <f>D79</f>
        <v>252.79131736320008</v>
      </c>
      <c r="D14" s="328">
        <f>N79</f>
        <v>339.73039196038269</v>
      </c>
      <c r="E14" s="334" t="s">
        <v>24</v>
      </c>
      <c r="F14" s="633" t="s">
        <v>24</v>
      </c>
      <c r="G14"/>
      <c r="H14"/>
      <c r="I14"/>
    </row>
    <row r="15" spans="1:15" ht="17" x14ac:dyDescent="0.2">
      <c r="B15" s="632" t="s">
        <v>124</v>
      </c>
      <c r="C15" s="148">
        <f>D112</f>
        <v>252.79131736320008</v>
      </c>
      <c r="D15" s="148">
        <f>N112</f>
        <v>189.59348802240009</v>
      </c>
      <c r="E15" s="405">
        <f>(D15-C15)/C15</f>
        <v>-0.24999999999999986</v>
      </c>
      <c r="F15" s="634">
        <f>D14-D15</f>
        <v>150.13690393798259</v>
      </c>
      <c r="G15"/>
      <c r="H15"/>
      <c r="I15"/>
    </row>
    <row r="16" spans="1:15" ht="17" x14ac:dyDescent="0.2">
      <c r="B16" s="632" t="s">
        <v>125</v>
      </c>
      <c r="C16" s="148">
        <f>D143</f>
        <v>252.79131736320008</v>
      </c>
      <c r="D16" s="148">
        <f>N143</f>
        <v>251.31499404411278</v>
      </c>
      <c r="E16" s="407">
        <f>(D16-C16)/C16</f>
        <v>-5.8400871299158566E-3</v>
      </c>
      <c r="F16" s="635">
        <f>D14-D16</f>
        <v>88.41539791626991</v>
      </c>
      <c r="G16"/>
      <c r="H16"/>
      <c r="I16"/>
    </row>
    <row r="17" spans="1:15" ht="18" x14ac:dyDescent="0.2">
      <c r="B17" s="906" t="s">
        <v>624</v>
      </c>
      <c r="C17" s="907"/>
      <c r="D17" s="907"/>
      <c r="E17" s="899" t="s">
        <v>118</v>
      </c>
      <c r="F17" s="901" t="s">
        <v>738</v>
      </c>
      <c r="G17"/>
      <c r="H17"/>
      <c r="I17"/>
      <c r="J17" s="324"/>
      <c r="K17" s="287"/>
      <c r="L17" s="287"/>
      <c r="M17" s="288"/>
      <c r="N17" s="324"/>
    </row>
    <row r="18" spans="1:15" ht="17" x14ac:dyDescent="0.2">
      <c r="B18" s="631" t="s">
        <v>117</v>
      </c>
      <c r="C18" s="327" t="s">
        <v>120</v>
      </c>
      <c r="D18" s="327" t="s">
        <v>121</v>
      </c>
      <c r="E18" s="899"/>
      <c r="F18" s="901" t="s">
        <v>122</v>
      </c>
      <c r="G18"/>
      <c r="H18"/>
      <c r="I18"/>
      <c r="J18" s="324"/>
      <c r="K18" s="287"/>
      <c r="L18" s="287"/>
      <c r="M18" s="288"/>
      <c r="N18" s="324"/>
    </row>
    <row r="19" spans="1:15" ht="17" x14ac:dyDescent="0.2">
      <c r="B19" s="632" t="s">
        <v>123</v>
      </c>
      <c r="C19" s="328">
        <f>D65</f>
        <v>3290.4479999999999</v>
      </c>
      <c r="D19" s="328">
        <f>N65</f>
        <v>4422.086962580107</v>
      </c>
      <c r="E19" s="334" t="s">
        <v>24</v>
      </c>
      <c r="F19" s="633" t="s">
        <v>24</v>
      </c>
      <c r="G19"/>
      <c r="H19"/>
      <c r="I19"/>
      <c r="J19" s="324"/>
      <c r="K19" s="287"/>
      <c r="L19" s="287"/>
      <c r="M19" s="288"/>
      <c r="N19" s="324"/>
    </row>
    <row r="20" spans="1:15" ht="17" x14ac:dyDescent="0.2">
      <c r="B20" s="632" t="s">
        <v>124</v>
      </c>
      <c r="C20" s="328">
        <f>D95</f>
        <v>3290.4479999999999</v>
      </c>
      <c r="D20" s="328">
        <f>N95</f>
        <v>3116.0542559999999</v>
      </c>
      <c r="E20" s="405">
        <f>(D20-C20)/C20</f>
        <v>-5.2999999999999992E-2</v>
      </c>
      <c r="F20" s="636">
        <f>D19-D20</f>
        <v>1306.0327065801071</v>
      </c>
      <c r="G20"/>
      <c r="H20"/>
      <c r="I20"/>
      <c r="J20" s="324"/>
      <c r="K20" s="287"/>
      <c r="L20" s="287"/>
      <c r="M20" s="288"/>
      <c r="N20" s="324"/>
    </row>
    <row r="21" spans="1:15" ht="17" x14ac:dyDescent="0.2">
      <c r="B21" s="632" t="s">
        <v>125</v>
      </c>
      <c r="C21" s="328">
        <f>D126</f>
        <v>3290.4479999999999</v>
      </c>
      <c r="D21" s="328">
        <f>N126</f>
        <v>3557.6459880527686</v>
      </c>
      <c r="E21" s="406">
        <f>(D21-C21)/C21</f>
        <v>8.1204136352487202E-2</v>
      </c>
      <c r="F21" s="636">
        <f>D19-D21</f>
        <v>864.44097452733831</v>
      </c>
      <c r="G21"/>
      <c r="H21"/>
      <c r="I21"/>
      <c r="J21" s="324"/>
      <c r="K21" s="287"/>
      <c r="L21" s="287"/>
      <c r="M21" s="288"/>
      <c r="N21" s="324"/>
    </row>
    <row r="22" spans="1:15" ht="18" x14ac:dyDescent="0.2">
      <c r="B22" s="906" t="s">
        <v>625</v>
      </c>
      <c r="C22" s="907"/>
      <c r="D22" s="907"/>
      <c r="E22" s="899" t="s">
        <v>118</v>
      </c>
      <c r="F22" s="902" t="s">
        <v>738</v>
      </c>
      <c r="G22"/>
      <c r="H22"/>
      <c r="I22"/>
      <c r="J22" s="324"/>
      <c r="K22" s="287"/>
      <c r="L22" s="287"/>
      <c r="M22" s="288"/>
      <c r="N22" s="324"/>
    </row>
    <row r="23" spans="1:15" ht="17" x14ac:dyDescent="0.2">
      <c r="B23" s="631" t="s">
        <v>117</v>
      </c>
      <c r="C23" s="327" t="s">
        <v>120</v>
      </c>
      <c r="D23" s="327" t="s">
        <v>121</v>
      </c>
      <c r="E23" s="899"/>
      <c r="F23" s="902" t="s">
        <v>122</v>
      </c>
      <c r="G23"/>
      <c r="H23"/>
      <c r="I23"/>
      <c r="J23" s="324"/>
      <c r="K23" s="287"/>
      <c r="L23" s="287"/>
      <c r="M23" s="288"/>
      <c r="N23" s="324"/>
    </row>
    <row r="24" spans="1:15" ht="17" x14ac:dyDescent="0.2">
      <c r="B24" s="632" t="s">
        <v>123</v>
      </c>
      <c r="C24" s="330">
        <f t="shared" ref="C24:D26" si="0">C14+C19</f>
        <v>3543.2393173631999</v>
      </c>
      <c r="D24" s="330">
        <f t="shared" si="0"/>
        <v>4761.8173545404898</v>
      </c>
      <c r="E24" s="146" t="s">
        <v>24</v>
      </c>
      <c r="F24" s="633" t="s">
        <v>24</v>
      </c>
      <c r="G24"/>
      <c r="H24"/>
      <c r="I24"/>
      <c r="J24" s="324"/>
      <c r="K24" s="287"/>
      <c r="L24" s="287"/>
      <c r="M24" s="288"/>
      <c r="N24" s="324"/>
    </row>
    <row r="25" spans="1:15" ht="17" x14ac:dyDescent="0.2">
      <c r="B25" s="632" t="s">
        <v>124</v>
      </c>
      <c r="C25" s="330">
        <f t="shared" si="0"/>
        <v>3543.2393173631999</v>
      </c>
      <c r="D25" s="330">
        <f t="shared" si="0"/>
        <v>3305.6477440223998</v>
      </c>
      <c r="E25" s="405">
        <f>(D25-C25)/C25</f>
        <v>-6.7054904300850468E-2</v>
      </c>
      <c r="F25" s="637">
        <f>D24-D25</f>
        <v>1456.1696105180899</v>
      </c>
      <c r="G25"/>
      <c r="H25"/>
      <c r="I25"/>
      <c r="J25" s="324"/>
      <c r="K25" s="287"/>
      <c r="L25" s="287"/>
      <c r="M25" s="288"/>
      <c r="N25" s="324"/>
    </row>
    <row r="26" spans="1:15" ht="18" thickBot="1" x14ac:dyDescent="0.25">
      <c r="B26" s="638" t="s">
        <v>125</v>
      </c>
      <c r="C26" s="639">
        <f t="shared" si="0"/>
        <v>3543.2393173631999</v>
      </c>
      <c r="D26" s="639">
        <f t="shared" si="0"/>
        <v>3808.9609820968813</v>
      </c>
      <c r="E26" s="640">
        <f>(D26-C26)/C26</f>
        <v>7.4993993047984556E-2</v>
      </c>
      <c r="F26" s="641">
        <f>D24-D26</f>
        <v>952.85637244360851</v>
      </c>
      <c r="G26"/>
      <c r="H26"/>
      <c r="I26"/>
    </row>
    <row r="27" spans="1:15" x14ac:dyDescent="0.2">
      <c r="C27" s="287"/>
      <c r="D27" s="287"/>
      <c r="E27" s="288"/>
      <c r="F27" s="324"/>
    </row>
    <row r="28" spans="1:15" s="317" customFormat="1" ht="18" x14ac:dyDescent="0.2">
      <c r="A28" s="336">
        <v>2</v>
      </c>
      <c r="B28" s="346" t="s">
        <v>737</v>
      </c>
      <c r="C28" s="318"/>
      <c r="D28" s="318"/>
      <c r="E28" s="318"/>
      <c r="F28" s="318"/>
      <c r="G28" s="319"/>
      <c r="H28" s="320"/>
      <c r="I28" s="321"/>
      <c r="J28" s="322"/>
      <c r="K28" s="322"/>
      <c r="L28" s="321"/>
      <c r="M28" s="322"/>
      <c r="N28" s="323"/>
      <c r="O28" s="323"/>
    </row>
    <row r="29" spans="1:15" customFormat="1" ht="30" customHeight="1" x14ac:dyDescent="0.2">
      <c r="B29" s="530" t="s">
        <v>821</v>
      </c>
    </row>
    <row r="30" spans="1:15" s="426" customFormat="1" ht="27.75" customHeight="1" thickBot="1" x14ac:dyDescent="0.25">
      <c r="A30" s="424"/>
      <c r="B30" s="417" t="s">
        <v>834</v>
      </c>
      <c r="O30" s="424"/>
    </row>
    <row r="31" spans="1:15" ht="17" x14ac:dyDescent="0.2">
      <c r="B31" s="365" t="s">
        <v>718</v>
      </c>
      <c r="C31" s="366" t="s">
        <v>126</v>
      </c>
      <c r="D31" s="367" t="s">
        <v>127</v>
      </c>
      <c r="E31" s="2"/>
      <c r="F31" s="2"/>
      <c r="G31" s="2"/>
      <c r="H31" s="2"/>
      <c r="I31" s="2"/>
    </row>
    <row r="32" spans="1:15" ht="34" x14ac:dyDescent="0.2">
      <c r="B32" s="368" t="s">
        <v>128</v>
      </c>
      <c r="C32" s="94" t="s">
        <v>129</v>
      </c>
      <c r="D32" s="369">
        <v>265</v>
      </c>
      <c r="E32" s="2"/>
      <c r="F32" s="2"/>
      <c r="G32" s="2"/>
      <c r="H32" s="2"/>
      <c r="I32" s="2"/>
    </row>
    <row r="33" spans="1:13" ht="34" x14ac:dyDescent="0.2">
      <c r="B33" s="370" t="s">
        <v>130</v>
      </c>
      <c r="C33" s="90" t="s">
        <v>129</v>
      </c>
      <c r="D33" s="371">
        <v>309</v>
      </c>
      <c r="E33" s="2"/>
      <c r="F33" s="2"/>
      <c r="G33" s="2"/>
      <c r="H33" s="2"/>
      <c r="I33" s="2"/>
    </row>
    <row r="34" spans="1:13" ht="34" x14ac:dyDescent="0.2">
      <c r="B34" s="370" t="s">
        <v>131</v>
      </c>
      <c r="C34" s="419" t="s">
        <v>132</v>
      </c>
      <c r="D34" s="371">
        <v>16.100000000000001</v>
      </c>
      <c r="E34" s="2"/>
      <c r="F34" s="2"/>
      <c r="G34" s="2"/>
      <c r="H34" s="2"/>
      <c r="I34" s="2"/>
    </row>
    <row r="35" spans="1:13" ht="35" thickBot="1" x14ac:dyDescent="0.25">
      <c r="B35" s="372" t="s">
        <v>133</v>
      </c>
      <c r="C35" s="420" t="s">
        <v>132</v>
      </c>
      <c r="D35" s="373">
        <v>12</v>
      </c>
      <c r="E35" s="2"/>
      <c r="F35" s="2"/>
      <c r="G35" s="2"/>
      <c r="H35" s="2"/>
      <c r="I35" s="2"/>
    </row>
    <row r="36" spans="1:13" customFormat="1" ht="17" thickBot="1" x14ac:dyDescent="0.25">
      <c r="A36" s="1"/>
      <c r="B36" s="325"/>
    </row>
    <row r="37" spans="1:13" ht="36" x14ac:dyDescent="0.2">
      <c r="B37" s="340" t="s">
        <v>626</v>
      </c>
      <c r="C37" s="282" t="s">
        <v>126</v>
      </c>
      <c r="D37" s="141" t="s">
        <v>127</v>
      </c>
      <c r="E37" s="2"/>
      <c r="F37" s="2"/>
      <c r="G37" s="2"/>
      <c r="H37" s="2"/>
      <c r="I37" s="2"/>
      <c r="K37" s="28"/>
    </row>
    <row r="38" spans="1:13" ht="18" x14ac:dyDescent="0.2">
      <c r="B38" s="341" t="s">
        <v>134</v>
      </c>
      <c r="C38" s="23" t="s">
        <v>135</v>
      </c>
      <c r="D38" s="342">
        <v>4.4000000000000004</v>
      </c>
      <c r="E38" s="2"/>
      <c r="F38" s="2"/>
      <c r="G38" s="2"/>
      <c r="H38" s="2"/>
      <c r="I38" s="2"/>
    </row>
    <row r="39" spans="1:13" ht="108" thickBot="1" x14ac:dyDescent="0.25">
      <c r="B39" s="343" t="s">
        <v>752</v>
      </c>
      <c r="C39" s="344" t="s">
        <v>136</v>
      </c>
      <c r="D39" s="345">
        <f>D38*0.5</f>
        <v>2.2000000000000002</v>
      </c>
      <c r="E39" s="2"/>
      <c r="F39" s="2"/>
      <c r="G39" s="2"/>
      <c r="H39" s="2"/>
      <c r="I39" s="2"/>
    </row>
    <row r="40" spans="1:13" ht="17" thickBot="1" x14ac:dyDescent="0.25">
      <c r="E40" s="2"/>
      <c r="F40" s="2"/>
      <c r="G40" s="2"/>
      <c r="H40" s="2"/>
      <c r="I40" s="2"/>
    </row>
    <row r="41" spans="1:13" ht="17" x14ac:dyDescent="0.2">
      <c r="B41" s="642" t="s">
        <v>719</v>
      </c>
      <c r="C41" s="643" t="s">
        <v>126</v>
      </c>
      <c r="D41" s="644" t="s">
        <v>127</v>
      </c>
      <c r="E41" s="2"/>
      <c r="F41"/>
      <c r="G41" s="2"/>
      <c r="H41" s="2"/>
      <c r="I41" s="2"/>
      <c r="J41" s="34"/>
    </row>
    <row r="42" spans="1:13" ht="55.5" customHeight="1" x14ac:dyDescent="0.2">
      <c r="A42" s="897"/>
      <c r="B42" s="551" t="s">
        <v>137</v>
      </c>
      <c r="C42" s="276" t="s">
        <v>138</v>
      </c>
      <c r="D42" s="645">
        <v>74</v>
      </c>
      <c r="E42" s="2"/>
      <c r="F42" s="2"/>
      <c r="G42" s="2"/>
      <c r="H42" s="2"/>
      <c r="I42" s="2"/>
      <c r="J42" s="34"/>
    </row>
    <row r="43" spans="1:13" ht="56.25" customHeight="1" x14ac:dyDescent="0.2">
      <c r="A43" s="897"/>
      <c r="B43" s="551" t="s">
        <v>139</v>
      </c>
      <c r="C43" s="276" t="s">
        <v>138</v>
      </c>
      <c r="D43" s="645">
        <v>47</v>
      </c>
      <c r="E43" s="2"/>
      <c r="F43" s="2"/>
      <c r="G43" s="2"/>
      <c r="H43" s="2"/>
      <c r="I43" s="2"/>
      <c r="J43" s="34"/>
    </row>
    <row r="44" spans="1:13" ht="90" customHeight="1" x14ac:dyDescent="0.2">
      <c r="B44" s="551" t="s">
        <v>140</v>
      </c>
      <c r="C44" s="276" t="s">
        <v>138</v>
      </c>
      <c r="D44" s="645">
        <f>D42*(1-10.6%)</f>
        <v>66.156000000000006</v>
      </c>
      <c r="E44" s="2"/>
      <c r="F44" s="2"/>
      <c r="G44" s="2"/>
      <c r="H44" s="2"/>
      <c r="I44" s="2"/>
      <c r="J44" s="34"/>
    </row>
    <row r="45" spans="1:13" ht="95.25" customHeight="1" thickBot="1" x14ac:dyDescent="0.25">
      <c r="B45" s="646" t="s">
        <v>141</v>
      </c>
      <c r="C45" s="647" t="s">
        <v>138</v>
      </c>
      <c r="D45" s="648">
        <f>D43*(1-10.6%)</f>
        <v>42.018000000000001</v>
      </c>
      <c r="E45" s="2"/>
      <c r="F45" s="2"/>
      <c r="G45" s="2"/>
      <c r="H45" s="2"/>
      <c r="I45" s="2"/>
      <c r="J45" s="34"/>
    </row>
    <row r="46" spans="1:13" ht="17" thickBot="1" x14ac:dyDescent="0.25">
      <c r="D46" s="271"/>
      <c r="E46" s="2"/>
      <c r="F46" s="2"/>
      <c r="G46" s="2"/>
      <c r="H46" s="2"/>
      <c r="I46" s="2"/>
      <c r="J46" s="34"/>
    </row>
    <row r="47" spans="1:13" ht="17" x14ac:dyDescent="0.2">
      <c r="B47" s="649" t="s">
        <v>720</v>
      </c>
      <c r="C47" s="650" t="s">
        <v>126</v>
      </c>
      <c r="D47" s="651" t="s">
        <v>127</v>
      </c>
      <c r="E47" s="2"/>
      <c r="F47" s="2"/>
      <c r="G47" s="2"/>
      <c r="H47" s="2"/>
      <c r="I47" s="2"/>
    </row>
    <row r="48" spans="1:13" ht="17" x14ac:dyDescent="0.2">
      <c r="B48" s="652" t="s">
        <v>142</v>
      </c>
      <c r="C48" s="421" t="s">
        <v>157</v>
      </c>
      <c r="D48" s="653">
        <v>1680000</v>
      </c>
      <c r="E48" s="2"/>
      <c r="F48" s="2"/>
      <c r="G48" s="2"/>
      <c r="H48" s="2"/>
      <c r="I48" s="2"/>
      <c r="L48" s="35"/>
      <c r="M48" s="35"/>
    </row>
    <row r="49" spans="1:16" ht="17" x14ac:dyDescent="0.2">
      <c r="B49" s="654" t="s">
        <v>143</v>
      </c>
      <c r="C49" s="422" t="s">
        <v>157</v>
      </c>
      <c r="D49" s="655">
        <f>D48*85%</f>
        <v>1428000</v>
      </c>
      <c r="E49" s="2"/>
      <c r="F49" s="2"/>
      <c r="G49" s="2"/>
      <c r="H49" s="2"/>
      <c r="I49" s="2"/>
      <c r="L49" s="35"/>
      <c r="M49" s="35"/>
    </row>
    <row r="50" spans="1:16" ht="17" x14ac:dyDescent="0.2">
      <c r="B50" s="654" t="s">
        <v>144</v>
      </c>
      <c r="C50" s="423" t="s">
        <v>157</v>
      </c>
      <c r="D50" s="655">
        <f>D48*15%</f>
        <v>252000</v>
      </c>
      <c r="E50" s="12"/>
      <c r="L50" s="35"/>
      <c r="M50" s="35"/>
    </row>
    <row r="51" spans="1:16" ht="18" thickBot="1" x14ac:dyDescent="0.25">
      <c r="B51" s="656" t="s">
        <v>145</v>
      </c>
      <c r="C51" s="657" t="s">
        <v>779</v>
      </c>
      <c r="D51" s="658">
        <v>60000</v>
      </c>
      <c r="E51" s="12"/>
    </row>
    <row r="52" spans="1:16" x14ac:dyDescent="0.2">
      <c r="C52" s="36"/>
    </row>
    <row r="53" spans="1:16" s="317" customFormat="1" ht="18" x14ac:dyDescent="0.2">
      <c r="A53" s="336">
        <v>3</v>
      </c>
      <c r="B53" s="376" t="s">
        <v>860</v>
      </c>
      <c r="C53" s="318"/>
      <c r="D53" s="318"/>
      <c r="E53" s="318"/>
      <c r="F53" s="318"/>
      <c r="G53" s="319"/>
      <c r="H53" s="320"/>
      <c r="I53" s="321"/>
      <c r="J53" s="322"/>
      <c r="K53" s="322"/>
      <c r="L53" s="321"/>
      <c r="M53" s="322"/>
      <c r="N53" s="323"/>
      <c r="O53" s="323"/>
    </row>
    <row r="54" spans="1:16" s="531" customFormat="1" ht="27" customHeight="1" x14ac:dyDescent="0.2">
      <c r="A54" s="529"/>
      <c r="B54" s="530" t="s">
        <v>822</v>
      </c>
      <c r="C54" s="530"/>
      <c r="D54" s="530"/>
      <c r="E54" s="530"/>
      <c r="F54" s="530"/>
      <c r="O54" s="532"/>
      <c r="P54" s="39"/>
    </row>
    <row r="55" spans="1:16" s="534" customFormat="1" ht="21" customHeight="1" x14ac:dyDescent="0.2">
      <c r="A55" s="533"/>
      <c r="B55" s="530" t="s">
        <v>817</v>
      </c>
      <c r="C55" s="530"/>
      <c r="D55" s="530"/>
      <c r="E55" s="530"/>
      <c r="O55" s="533"/>
    </row>
    <row r="56" spans="1:16" s="534" customFormat="1" ht="21" customHeight="1" thickBot="1" x14ac:dyDescent="0.25">
      <c r="A56" s="533"/>
      <c r="B56" s="530"/>
      <c r="C56" s="530"/>
      <c r="D56" s="530"/>
      <c r="E56" s="530"/>
      <c r="O56" s="533"/>
    </row>
    <row r="57" spans="1:16" ht="20" thickBot="1" x14ac:dyDescent="0.25">
      <c r="B57" s="537" t="s">
        <v>627</v>
      </c>
      <c r="C57" s="538"/>
      <c r="D57" s="539"/>
      <c r="E57" s="539"/>
      <c r="F57" s="540"/>
      <c r="G57" s="540"/>
      <c r="H57" s="540"/>
      <c r="I57" s="540"/>
      <c r="J57" s="543"/>
      <c r="K57" s="544"/>
      <c r="L57" s="540"/>
      <c r="M57" s="540"/>
      <c r="N57" s="541"/>
      <c r="O57" s="542"/>
    </row>
    <row r="58" spans="1:16" customFormat="1" ht="15.75" customHeight="1" thickBot="1" x14ac:dyDescent="0.25"/>
    <row r="59" spans="1:16" ht="44.25" customHeight="1" x14ac:dyDescent="0.2">
      <c r="B59" s="545" t="s">
        <v>630</v>
      </c>
      <c r="C59" s="546" t="s">
        <v>126</v>
      </c>
      <c r="D59" s="547" t="s">
        <v>120</v>
      </c>
      <c r="E59" s="547" t="s">
        <v>146</v>
      </c>
      <c r="F59" s="547" t="s">
        <v>147</v>
      </c>
      <c r="G59" s="547" t="s">
        <v>148</v>
      </c>
      <c r="H59" s="547" t="s">
        <v>149</v>
      </c>
      <c r="I59" s="547" t="s">
        <v>150</v>
      </c>
      <c r="J59" s="547" t="s">
        <v>151</v>
      </c>
      <c r="K59" s="547" t="s">
        <v>152</v>
      </c>
      <c r="L59" s="547" t="s">
        <v>153</v>
      </c>
      <c r="M59" s="547" t="s">
        <v>154</v>
      </c>
      <c r="N59" s="547" t="s">
        <v>121</v>
      </c>
      <c r="O59" s="548" t="s">
        <v>155</v>
      </c>
    </row>
    <row r="60" spans="1:16" ht="17" x14ac:dyDescent="0.2">
      <c r="B60" s="549" t="s">
        <v>156</v>
      </c>
      <c r="C60" s="276" t="s">
        <v>157</v>
      </c>
      <c r="D60" s="169">
        <f>D48*85%</f>
        <v>1428000</v>
      </c>
      <c r="E60" s="169">
        <f>D60*1.03</f>
        <v>1470840</v>
      </c>
      <c r="F60" s="169">
        <f>E60*1.03</f>
        <v>1514965.2</v>
      </c>
      <c r="G60" s="169">
        <f t="shared" ref="F60:N61" si="1">F60*1.03</f>
        <v>1560414.156</v>
      </c>
      <c r="H60" s="169">
        <f t="shared" si="1"/>
        <v>1607226.5806799999</v>
      </c>
      <c r="I60" s="169">
        <f t="shared" si="1"/>
        <v>1655443.3781003999</v>
      </c>
      <c r="J60" s="169">
        <f t="shared" si="1"/>
        <v>1705106.679443412</v>
      </c>
      <c r="K60" s="169">
        <f t="shared" si="1"/>
        <v>1756259.8798267143</v>
      </c>
      <c r="L60" s="169">
        <f t="shared" si="1"/>
        <v>1808947.6762215158</v>
      </c>
      <c r="M60" s="169">
        <f t="shared" si="1"/>
        <v>1863216.1065081612</v>
      </c>
      <c r="N60" s="169">
        <f t="shared" si="1"/>
        <v>1919112.589703406</v>
      </c>
      <c r="O60" s="550" t="s">
        <v>158</v>
      </c>
    </row>
    <row r="61" spans="1:16" ht="17" x14ac:dyDescent="0.2">
      <c r="B61" s="549" t="s">
        <v>159</v>
      </c>
      <c r="C61" s="276" t="s">
        <v>157</v>
      </c>
      <c r="D61" s="169">
        <f>D48*15%</f>
        <v>252000</v>
      </c>
      <c r="E61" s="169">
        <f>D61*1.03</f>
        <v>259560</v>
      </c>
      <c r="F61" s="169">
        <f t="shared" si="1"/>
        <v>267346.8</v>
      </c>
      <c r="G61" s="169">
        <f t="shared" si="1"/>
        <v>275367.20399999997</v>
      </c>
      <c r="H61" s="169">
        <f t="shared" si="1"/>
        <v>283628.22011999995</v>
      </c>
      <c r="I61" s="169">
        <f t="shared" si="1"/>
        <v>292137.06672359997</v>
      </c>
      <c r="J61" s="169">
        <f t="shared" si="1"/>
        <v>300901.17872530798</v>
      </c>
      <c r="K61" s="169">
        <f t="shared" si="1"/>
        <v>309928.21408706723</v>
      </c>
      <c r="L61" s="169">
        <f t="shared" si="1"/>
        <v>319226.06050967926</v>
      </c>
      <c r="M61" s="169">
        <f t="shared" si="1"/>
        <v>328802.84232496965</v>
      </c>
      <c r="N61" s="169">
        <f t="shared" si="1"/>
        <v>338666.92759471876</v>
      </c>
      <c r="O61" s="550" t="s">
        <v>158</v>
      </c>
    </row>
    <row r="62" spans="1:16" ht="18" x14ac:dyDescent="0.2">
      <c r="B62" s="551" t="s">
        <v>160</v>
      </c>
      <c r="C62" s="146" t="s">
        <v>161</v>
      </c>
      <c r="D62" s="329">
        <f>$D$42*(D60/1000000)</f>
        <v>105.672</v>
      </c>
      <c r="E62" s="329">
        <f t="shared" ref="E62:N62" si="2">$D$42*(E60/1000000)</f>
        <v>108.84215999999999</v>
      </c>
      <c r="F62" s="329">
        <f t="shared" si="2"/>
        <v>112.1074248</v>
      </c>
      <c r="G62" s="329">
        <f t="shared" si="2"/>
        <v>115.470647544</v>
      </c>
      <c r="H62" s="329">
        <f t="shared" si="2"/>
        <v>118.93476697032</v>
      </c>
      <c r="I62" s="329">
        <f t="shared" si="2"/>
        <v>122.50280997942959</v>
      </c>
      <c r="J62" s="329">
        <f t="shared" si="2"/>
        <v>126.17789427881249</v>
      </c>
      <c r="K62" s="329">
        <f t="shared" si="2"/>
        <v>129.96323110717685</v>
      </c>
      <c r="L62" s="329">
        <f t="shared" si="2"/>
        <v>133.86212804039218</v>
      </c>
      <c r="M62" s="329">
        <f t="shared" si="2"/>
        <v>137.87799188160392</v>
      </c>
      <c r="N62" s="329">
        <f t="shared" si="2"/>
        <v>142.01433163805206</v>
      </c>
      <c r="O62" s="550"/>
    </row>
    <row r="63" spans="1:16" ht="18" x14ac:dyDescent="0.2">
      <c r="B63" s="551" t="s">
        <v>162</v>
      </c>
      <c r="C63" s="146" t="s">
        <v>161</v>
      </c>
      <c r="D63" s="329">
        <f>$D$43*(D61/1000000)</f>
        <v>11.843999999999999</v>
      </c>
      <c r="E63" s="329">
        <f t="shared" ref="E63:N63" si="3">$D$43*(E61/1000000)</f>
        <v>12.19932</v>
      </c>
      <c r="F63" s="329">
        <f t="shared" si="3"/>
        <v>12.565299599999999</v>
      </c>
      <c r="G63" s="329">
        <f t="shared" si="3"/>
        <v>12.942258588</v>
      </c>
      <c r="H63" s="329">
        <f t="shared" si="3"/>
        <v>13.330526345639997</v>
      </c>
      <c r="I63" s="329">
        <f t="shared" si="3"/>
        <v>13.730442136009199</v>
      </c>
      <c r="J63" s="329">
        <f t="shared" si="3"/>
        <v>14.142355400089475</v>
      </c>
      <c r="K63" s="329">
        <f t="shared" si="3"/>
        <v>14.56662606209216</v>
      </c>
      <c r="L63" s="329">
        <f t="shared" si="3"/>
        <v>15.003624843954926</v>
      </c>
      <c r="M63" s="329">
        <f t="shared" si="3"/>
        <v>15.453733589273574</v>
      </c>
      <c r="N63" s="329">
        <f t="shared" si="3"/>
        <v>15.917345596951783</v>
      </c>
      <c r="O63" s="550"/>
    </row>
    <row r="64" spans="1:16" ht="19" x14ac:dyDescent="0.2">
      <c r="B64" s="551" t="s">
        <v>163</v>
      </c>
      <c r="C64" s="146" t="s">
        <v>161</v>
      </c>
      <c r="D64" s="329">
        <f>SUM(D62:D63)</f>
        <v>117.51599999999999</v>
      </c>
      <c r="E64" s="329">
        <f t="shared" ref="E64:N64" si="4">SUM(E62:E63)</f>
        <v>121.04147999999999</v>
      </c>
      <c r="F64" s="329">
        <f t="shared" si="4"/>
        <v>124.67272440000001</v>
      </c>
      <c r="G64" s="329">
        <f t="shared" si="4"/>
        <v>128.41290613199999</v>
      </c>
      <c r="H64" s="329">
        <f t="shared" si="4"/>
        <v>132.26529331596001</v>
      </c>
      <c r="I64" s="329">
        <f t="shared" si="4"/>
        <v>136.23325211543877</v>
      </c>
      <c r="J64" s="329">
        <f t="shared" si="4"/>
        <v>140.32024967890197</v>
      </c>
      <c r="K64" s="329">
        <f t="shared" si="4"/>
        <v>144.52985716926901</v>
      </c>
      <c r="L64" s="329">
        <f t="shared" si="4"/>
        <v>148.8657528843471</v>
      </c>
      <c r="M64" s="329">
        <f t="shared" si="4"/>
        <v>153.3317254708775</v>
      </c>
      <c r="N64" s="329">
        <f t="shared" si="4"/>
        <v>157.93167723500383</v>
      </c>
      <c r="O64" s="550"/>
    </row>
    <row r="65" spans="1:15" ht="37" thickBot="1" x14ac:dyDescent="0.25">
      <c r="B65" s="552" t="s">
        <v>749</v>
      </c>
      <c r="C65" s="553" t="s">
        <v>164</v>
      </c>
      <c r="D65" s="554">
        <f>D64*28</f>
        <v>3290.4479999999999</v>
      </c>
      <c r="E65" s="554">
        <f t="shared" ref="E65:N65" si="5">E64*28</f>
        <v>3389.1614399999999</v>
      </c>
      <c r="F65" s="554">
        <f t="shared" si="5"/>
        <v>3490.8362832000003</v>
      </c>
      <c r="G65" s="554">
        <f t="shared" si="5"/>
        <v>3595.5613716959997</v>
      </c>
      <c r="H65" s="554">
        <f t="shared" si="5"/>
        <v>3703.4282128468803</v>
      </c>
      <c r="I65" s="554">
        <f t="shared" si="5"/>
        <v>3814.5310592322858</v>
      </c>
      <c r="J65" s="554">
        <f t="shared" si="5"/>
        <v>3928.9669910092553</v>
      </c>
      <c r="K65" s="554">
        <f t="shared" si="5"/>
        <v>4046.8360007395322</v>
      </c>
      <c r="L65" s="554">
        <f t="shared" si="5"/>
        <v>4168.2410807617189</v>
      </c>
      <c r="M65" s="554">
        <f t="shared" si="5"/>
        <v>4293.2883131845701</v>
      </c>
      <c r="N65" s="554">
        <f t="shared" si="5"/>
        <v>4422.086962580107</v>
      </c>
      <c r="O65" s="555"/>
    </row>
    <row r="66" spans="1:15" customFormat="1" ht="17" thickBot="1" x14ac:dyDescent="0.25"/>
    <row r="67" spans="1:15" ht="19" x14ac:dyDescent="0.2">
      <c r="B67" s="561" t="s">
        <v>165</v>
      </c>
      <c r="C67" s="547" t="s">
        <v>126</v>
      </c>
      <c r="D67" s="547" t="s">
        <v>120</v>
      </c>
      <c r="E67" s="547" t="s">
        <v>146</v>
      </c>
      <c r="F67" s="547" t="s">
        <v>147</v>
      </c>
      <c r="G67" s="547" t="s">
        <v>148</v>
      </c>
      <c r="H67" s="547" t="s">
        <v>149</v>
      </c>
      <c r="I67" s="547" t="s">
        <v>150</v>
      </c>
      <c r="J67" s="547" t="s">
        <v>151</v>
      </c>
      <c r="K67" s="547" t="s">
        <v>152</v>
      </c>
      <c r="L67" s="547" t="s">
        <v>153</v>
      </c>
      <c r="M67" s="547" t="s">
        <v>154</v>
      </c>
      <c r="N67" s="547" t="s">
        <v>121</v>
      </c>
      <c r="O67" s="548" t="s">
        <v>155</v>
      </c>
    </row>
    <row r="68" spans="1:15" ht="17" x14ac:dyDescent="0.2">
      <c r="B68" s="551" t="s">
        <v>166</v>
      </c>
      <c r="C68" s="276" t="s">
        <v>157</v>
      </c>
      <c r="D68" s="170">
        <f>D49</f>
        <v>1428000</v>
      </c>
      <c r="E68" s="169">
        <f>D68*1.03</f>
        <v>1470840</v>
      </c>
      <c r="F68" s="169">
        <f t="shared" ref="F68:N68" si="6">E68*1.03</f>
        <v>1514965.2</v>
      </c>
      <c r="G68" s="169">
        <f t="shared" si="6"/>
        <v>1560414.156</v>
      </c>
      <c r="H68" s="169">
        <f t="shared" si="6"/>
        <v>1607226.5806799999</v>
      </c>
      <c r="I68" s="169">
        <f t="shared" si="6"/>
        <v>1655443.3781003999</v>
      </c>
      <c r="J68" s="169">
        <f t="shared" si="6"/>
        <v>1705106.679443412</v>
      </c>
      <c r="K68" s="169">
        <f t="shared" si="6"/>
        <v>1756259.8798267143</v>
      </c>
      <c r="L68" s="169">
        <f t="shared" si="6"/>
        <v>1808947.6762215158</v>
      </c>
      <c r="M68" s="169">
        <f t="shared" si="6"/>
        <v>1863216.1065081612</v>
      </c>
      <c r="N68" s="169">
        <f t="shared" si="6"/>
        <v>1919112.589703406</v>
      </c>
      <c r="O68" s="550" t="s">
        <v>158</v>
      </c>
    </row>
    <row r="69" spans="1:15" ht="17" x14ac:dyDescent="0.2">
      <c r="B69" s="551" t="s">
        <v>167</v>
      </c>
      <c r="C69" s="146" t="s">
        <v>168</v>
      </c>
      <c r="D69" s="348">
        <f>(($D$32/1000)*$D$34)*365</f>
        <v>1557.2725000000003</v>
      </c>
      <c r="E69" s="348">
        <f>(($D$32/1000)*$D$34)*365</f>
        <v>1557.2725000000003</v>
      </c>
      <c r="F69" s="348">
        <f t="shared" ref="F69:N69" si="7">(($D$32/1000)*$D$34)*365</f>
        <v>1557.2725000000003</v>
      </c>
      <c r="G69" s="348">
        <f t="shared" si="7"/>
        <v>1557.2725000000003</v>
      </c>
      <c r="H69" s="348">
        <f t="shared" si="7"/>
        <v>1557.2725000000003</v>
      </c>
      <c r="I69" s="348">
        <f t="shared" si="7"/>
        <v>1557.2725000000003</v>
      </c>
      <c r="J69" s="348">
        <f t="shared" si="7"/>
        <v>1557.2725000000003</v>
      </c>
      <c r="K69" s="348">
        <f t="shared" si="7"/>
        <v>1557.2725000000003</v>
      </c>
      <c r="L69" s="348">
        <f t="shared" si="7"/>
        <v>1557.2725000000003</v>
      </c>
      <c r="M69" s="348">
        <f t="shared" si="7"/>
        <v>1557.2725000000003</v>
      </c>
      <c r="N69" s="348">
        <f t="shared" si="7"/>
        <v>1557.2725000000003</v>
      </c>
      <c r="O69" s="550"/>
    </row>
    <row r="70" spans="1:15" ht="34" x14ac:dyDescent="0.2">
      <c r="B70" s="551" t="s">
        <v>169</v>
      </c>
      <c r="C70" s="146" t="s">
        <v>170</v>
      </c>
      <c r="D70" s="349">
        <v>0.8</v>
      </c>
      <c r="E70" s="349">
        <v>0.8</v>
      </c>
      <c r="F70" s="349">
        <v>0.8</v>
      </c>
      <c r="G70" s="349">
        <v>0.8</v>
      </c>
      <c r="H70" s="349">
        <v>0.8</v>
      </c>
      <c r="I70" s="349">
        <v>0.8</v>
      </c>
      <c r="J70" s="349">
        <v>0.8</v>
      </c>
      <c r="K70" s="349">
        <v>0.8</v>
      </c>
      <c r="L70" s="349">
        <v>0.8</v>
      </c>
      <c r="M70" s="349">
        <v>0.8</v>
      </c>
      <c r="N70" s="349">
        <v>0.8</v>
      </c>
      <c r="O70" s="550" t="s">
        <v>171</v>
      </c>
    </row>
    <row r="71" spans="1:15" ht="19" x14ac:dyDescent="0.2">
      <c r="B71" s="551" t="s">
        <v>172</v>
      </c>
      <c r="C71" s="146" t="s">
        <v>173</v>
      </c>
      <c r="D71" s="348">
        <f>(D68*D69*D70*$D$38)/1000</f>
        <v>7827723.6576000024</v>
      </c>
      <c r="E71" s="348">
        <f t="shared" ref="E71:N71" si="8">(E68*E69*E70*$D$38)/1000</f>
        <v>8062555.367328003</v>
      </c>
      <c r="F71" s="348">
        <f t="shared" si="8"/>
        <v>8304432.0283478424</v>
      </c>
      <c r="G71" s="348">
        <f t="shared" si="8"/>
        <v>8553564.9891982768</v>
      </c>
      <c r="H71" s="348">
        <f t="shared" si="8"/>
        <v>8810171.9388742261</v>
      </c>
      <c r="I71" s="348">
        <f t="shared" si="8"/>
        <v>9074477.0970404521</v>
      </c>
      <c r="J71" s="348">
        <f t="shared" si="8"/>
        <v>9346711.4099516664</v>
      </c>
      <c r="K71" s="348">
        <f t="shared" si="8"/>
        <v>9627112.7522502169</v>
      </c>
      <c r="L71" s="348">
        <f t="shared" si="8"/>
        <v>9915926.1348177232</v>
      </c>
      <c r="M71" s="348">
        <f t="shared" si="8"/>
        <v>10213403.918862253</v>
      </c>
      <c r="N71" s="348">
        <f t="shared" si="8"/>
        <v>10519806.036428122</v>
      </c>
      <c r="O71" s="550"/>
    </row>
    <row r="72" spans="1:15" ht="19" x14ac:dyDescent="0.2">
      <c r="B72" s="569" t="s">
        <v>722</v>
      </c>
      <c r="C72" s="149" t="s">
        <v>164</v>
      </c>
      <c r="D72" s="347">
        <f>D71/1000000*28</f>
        <v>219.17626241280007</v>
      </c>
      <c r="E72" s="347">
        <f t="shared" ref="E72:N72" si="9">E71/1000000*28</f>
        <v>225.75155028518407</v>
      </c>
      <c r="F72" s="347">
        <f t="shared" si="9"/>
        <v>232.52409679373957</v>
      </c>
      <c r="G72" s="347">
        <f t="shared" si="9"/>
        <v>239.49981969755174</v>
      </c>
      <c r="H72" s="347">
        <f t="shared" si="9"/>
        <v>246.68481428847835</v>
      </c>
      <c r="I72" s="347">
        <f t="shared" si="9"/>
        <v>254.08535871713266</v>
      </c>
      <c r="J72" s="347">
        <f t="shared" si="9"/>
        <v>261.70791947864666</v>
      </c>
      <c r="K72" s="347">
        <f t="shared" si="9"/>
        <v>269.55915706300607</v>
      </c>
      <c r="L72" s="347">
        <f t="shared" si="9"/>
        <v>277.64593177489627</v>
      </c>
      <c r="M72" s="347">
        <f t="shared" si="9"/>
        <v>285.97530972814309</v>
      </c>
      <c r="N72" s="347">
        <f t="shared" si="9"/>
        <v>294.55456901998741</v>
      </c>
      <c r="O72" s="570"/>
    </row>
    <row r="73" spans="1:15" s="71" customFormat="1" ht="19" x14ac:dyDescent="0.2">
      <c r="A73" s="337"/>
      <c r="B73" s="659" t="s">
        <v>174</v>
      </c>
      <c r="C73" s="143" t="s">
        <v>126</v>
      </c>
      <c r="D73" s="143" t="s">
        <v>120</v>
      </c>
      <c r="E73" s="143" t="s">
        <v>146</v>
      </c>
      <c r="F73" s="143" t="s">
        <v>147</v>
      </c>
      <c r="G73" s="143" t="s">
        <v>148</v>
      </c>
      <c r="H73" s="143" t="s">
        <v>149</v>
      </c>
      <c r="I73" s="143" t="s">
        <v>150</v>
      </c>
      <c r="J73" s="143" t="s">
        <v>151</v>
      </c>
      <c r="K73" s="143" t="s">
        <v>152</v>
      </c>
      <c r="L73" s="143" t="s">
        <v>153</v>
      </c>
      <c r="M73" s="143" t="s">
        <v>154</v>
      </c>
      <c r="N73" s="143" t="s">
        <v>121</v>
      </c>
      <c r="O73" s="660" t="s">
        <v>155</v>
      </c>
    </row>
    <row r="74" spans="1:15" ht="17" x14ac:dyDescent="0.2">
      <c r="B74" s="551" t="s">
        <v>166</v>
      </c>
      <c r="C74" s="276" t="s">
        <v>157</v>
      </c>
      <c r="D74" s="170">
        <f>D50</f>
        <v>252000</v>
      </c>
      <c r="E74" s="169">
        <f>D74*1.03</f>
        <v>259560</v>
      </c>
      <c r="F74" s="169">
        <f t="shared" ref="F74:N74" si="10">E74*1.03</f>
        <v>267346.8</v>
      </c>
      <c r="G74" s="169">
        <f t="shared" si="10"/>
        <v>275367.20399999997</v>
      </c>
      <c r="H74" s="169">
        <f t="shared" si="10"/>
        <v>283628.22011999995</v>
      </c>
      <c r="I74" s="169">
        <f t="shared" si="10"/>
        <v>292137.06672359997</v>
      </c>
      <c r="J74" s="169">
        <f t="shared" si="10"/>
        <v>300901.17872530798</v>
      </c>
      <c r="K74" s="169">
        <f t="shared" si="10"/>
        <v>309928.21408706723</v>
      </c>
      <c r="L74" s="169">
        <f t="shared" si="10"/>
        <v>319226.06050967926</v>
      </c>
      <c r="M74" s="169">
        <f t="shared" si="10"/>
        <v>328802.84232496965</v>
      </c>
      <c r="N74" s="169">
        <f t="shared" si="10"/>
        <v>338666.92759471876</v>
      </c>
      <c r="O74" s="550" t="s">
        <v>158</v>
      </c>
    </row>
    <row r="75" spans="1:15" ht="17" x14ac:dyDescent="0.2">
      <c r="B75" s="551" t="s">
        <v>167</v>
      </c>
      <c r="C75" s="146" t="s">
        <v>168</v>
      </c>
      <c r="D75" s="348">
        <f>(($D$33/1000)*$D$35)*365</f>
        <v>1353.42</v>
      </c>
      <c r="E75" s="348">
        <f t="shared" ref="E75:N75" si="11">(($D$33/1000)*$D$35)*365</f>
        <v>1353.42</v>
      </c>
      <c r="F75" s="348">
        <f t="shared" si="11"/>
        <v>1353.42</v>
      </c>
      <c r="G75" s="348">
        <f t="shared" si="11"/>
        <v>1353.42</v>
      </c>
      <c r="H75" s="348">
        <f t="shared" si="11"/>
        <v>1353.42</v>
      </c>
      <c r="I75" s="348">
        <f t="shared" si="11"/>
        <v>1353.42</v>
      </c>
      <c r="J75" s="348">
        <f t="shared" si="11"/>
        <v>1353.42</v>
      </c>
      <c r="K75" s="348">
        <f t="shared" si="11"/>
        <v>1353.42</v>
      </c>
      <c r="L75" s="348">
        <f t="shared" si="11"/>
        <v>1353.42</v>
      </c>
      <c r="M75" s="348">
        <f t="shared" si="11"/>
        <v>1353.42</v>
      </c>
      <c r="N75" s="348">
        <f t="shared" si="11"/>
        <v>1353.42</v>
      </c>
      <c r="O75" s="550"/>
    </row>
    <row r="76" spans="1:15" ht="34" x14ac:dyDescent="0.2">
      <c r="B76" s="551" t="s">
        <v>169</v>
      </c>
      <c r="C76" s="146" t="s">
        <v>170</v>
      </c>
      <c r="D76" s="349">
        <v>0.8</v>
      </c>
      <c r="E76" s="349">
        <v>0.8</v>
      </c>
      <c r="F76" s="349">
        <v>0.8</v>
      </c>
      <c r="G76" s="349">
        <v>0.8</v>
      </c>
      <c r="H76" s="349">
        <v>0.8</v>
      </c>
      <c r="I76" s="349">
        <v>0.8</v>
      </c>
      <c r="J76" s="349">
        <v>0.8</v>
      </c>
      <c r="K76" s="349">
        <v>0.8</v>
      </c>
      <c r="L76" s="349">
        <v>0.8</v>
      </c>
      <c r="M76" s="349">
        <v>0.8</v>
      </c>
      <c r="N76" s="349">
        <v>0.8</v>
      </c>
      <c r="O76" s="550" t="s">
        <v>171</v>
      </c>
    </row>
    <row r="77" spans="1:15" ht="19" x14ac:dyDescent="0.2">
      <c r="B77" s="551" t="s">
        <v>172</v>
      </c>
      <c r="C77" s="146" t="s">
        <v>173</v>
      </c>
      <c r="D77" s="348">
        <f>(D74*D75*D76*$D$38)/1000</f>
        <v>1200537.6768000002</v>
      </c>
      <c r="E77" s="348">
        <f t="shared" ref="E77:N77" si="12">(E74*E75*E76*$D$38)/1000</f>
        <v>1236553.8071040004</v>
      </c>
      <c r="F77" s="348">
        <f t="shared" si="12"/>
        <v>1273650.4213171201</v>
      </c>
      <c r="G77" s="348">
        <f t="shared" si="12"/>
        <v>1311859.9339566336</v>
      </c>
      <c r="H77" s="348">
        <f t="shared" si="12"/>
        <v>1351215.7319753326</v>
      </c>
      <c r="I77" s="348">
        <f t="shared" si="12"/>
        <v>1391752.2039345927</v>
      </c>
      <c r="J77" s="348">
        <f t="shared" si="12"/>
        <v>1433504.7700526305</v>
      </c>
      <c r="K77" s="348">
        <f t="shared" si="12"/>
        <v>1476509.9131542093</v>
      </c>
      <c r="L77" s="348">
        <f t="shared" si="12"/>
        <v>1520805.2105488358</v>
      </c>
      <c r="M77" s="348">
        <f t="shared" si="12"/>
        <v>1566429.366865301</v>
      </c>
      <c r="N77" s="348">
        <f t="shared" si="12"/>
        <v>1613422.2478712602</v>
      </c>
      <c r="O77" s="550"/>
    </row>
    <row r="78" spans="1:15" ht="27.75" customHeight="1" x14ac:dyDescent="0.2">
      <c r="B78" s="569" t="s">
        <v>721</v>
      </c>
      <c r="C78" s="149" t="s">
        <v>164</v>
      </c>
      <c r="D78" s="347">
        <f>D77/1000000*28</f>
        <v>33.615054950400008</v>
      </c>
      <c r="E78" s="347">
        <f t="shared" ref="E78:N78" si="13">E77/1000000*28</f>
        <v>34.623506598912009</v>
      </c>
      <c r="F78" s="347">
        <f t="shared" si="13"/>
        <v>35.662211796879362</v>
      </c>
      <c r="G78" s="347">
        <f t="shared" si="13"/>
        <v>36.732078150785739</v>
      </c>
      <c r="H78" s="347">
        <f t="shared" si="13"/>
        <v>37.83404049530931</v>
      </c>
      <c r="I78" s="347">
        <f t="shared" si="13"/>
        <v>38.969061710168596</v>
      </c>
      <c r="J78" s="347">
        <f t="shared" si="13"/>
        <v>40.138133561473651</v>
      </c>
      <c r="K78" s="347">
        <f t="shared" si="13"/>
        <v>41.342277568317854</v>
      </c>
      <c r="L78" s="347">
        <f t="shared" si="13"/>
        <v>42.582545895367403</v>
      </c>
      <c r="M78" s="347">
        <f t="shared" si="13"/>
        <v>43.860022272228434</v>
      </c>
      <c r="N78" s="347">
        <f t="shared" si="13"/>
        <v>45.175822940395285</v>
      </c>
      <c r="O78" s="570"/>
    </row>
    <row r="79" spans="1:15" ht="39" customHeight="1" thickBot="1" x14ac:dyDescent="0.25">
      <c r="B79" s="552" t="s">
        <v>750</v>
      </c>
      <c r="C79" s="553" t="s">
        <v>164</v>
      </c>
      <c r="D79" s="554">
        <f>D72+D78</f>
        <v>252.79131736320008</v>
      </c>
      <c r="E79" s="554">
        <f t="shared" ref="E79:N79" si="14">E72+E78</f>
        <v>260.37505688409607</v>
      </c>
      <c r="F79" s="554">
        <f t="shared" si="14"/>
        <v>268.18630859061892</v>
      </c>
      <c r="G79" s="554">
        <f t="shared" si="14"/>
        <v>276.2318978483375</v>
      </c>
      <c r="H79" s="554">
        <f t="shared" si="14"/>
        <v>284.51885478378767</v>
      </c>
      <c r="I79" s="554">
        <f t="shared" si="14"/>
        <v>293.05442042730124</v>
      </c>
      <c r="J79" s="554">
        <f t="shared" si="14"/>
        <v>301.8460530401203</v>
      </c>
      <c r="K79" s="554">
        <f t="shared" si="14"/>
        <v>310.90143463132392</v>
      </c>
      <c r="L79" s="554">
        <f t="shared" si="14"/>
        <v>320.22847767026366</v>
      </c>
      <c r="M79" s="554">
        <f t="shared" si="14"/>
        <v>329.83533200037152</v>
      </c>
      <c r="N79" s="554">
        <f t="shared" si="14"/>
        <v>339.73039196038269</v>
      </c>
      <c r="O79" s="555"/>
    </row>
    <row r="80" spans="1:15" customFormat="1" ht="17" thickBot="1" x14ac:dyDescent="0.25"/>
    <row r="81" spans="1:16" s="272" customFormat="1" ht="19" thickBot="1" x14ac:dyDescent="0.25">
      <c r="A81" s="338"/>
      <c r="B81" s="556" t="s">
        <v>541</v>
      </c>
      <c r="C81" s="557" t="s">
        <v>164</v>
      </c>
      <c r="D81" s="558">
        <f>SUM(D65,D79)</f>
        <v>3543.2393173631999</v>
      </c>
      <c r="E81" s="558">
        <f t="shared" ref="E81:N81" si="15">SUM(E65,E79)</f>
        <v>3649.5364968840959</v>
      </c>
      <c r="F81" s="558">
        <f t="shared" si="15"/>
        <v>3759.0225917906191</v>
      </c>
      <c r="G81" s="558">
        <f t="shared" si="15"/>
        <v>3871.7932695443374</v>
      </c>
      <c r="H81" s="558">
        <f t="shared" si="15"/>
        <v>3987.9470676306682</v>
      </c>
      <c r="I81" s="558">
        <f t="shared" si="15"/>
        <v>4107.5854796595868</v>
      </c>
      <c r="J81" s="558">
        <f t="shared" si="15"/>
        <v>4230.8130440493751</v>
      </c>
      <c r="K81" s="558">
        <f t="shared" si="15"/>
        <v>4357.7374353708565</v>
      </c>
      <c r="L81" s="558">
        <f t="shared" si="15"/>
        <v>4488.4695584319825</v>
      </c>
      <c r="M81" s="558">
        <f t="shared" si="15"/>
        <v>4623.1236451849418</v>
      </c>
      <c r="N81" s="571">
        <f t="shared" si="15"/>
        <v>4761.8173545404898</v>
      </c>
      <c r="O81" s="17"/>
    </row>
    <row r="82" spans="1:16" ht="18" x14ac:dyDescent="0.2">
      <c r="B82" s="326"/>
      <c r="C82" s="37"/>
      <c r="D82" s="14"/>
      <c r="E82" s="14"/>
      <c r="F82" s="14"/>
      <c r="G82" s="14"/>
      <c r="H82" s="14"/>
      <c r="I82" s="14"/>
      <c r="J82" s="14"/>
      <c r="K82" s="14"/>
      <c r="L82" s="14"/>
      <c r="M82" s="14"/>
      <c r="N82" s="14"/>
      <c r="O82" s="17"/>
    </row>
    <row r="83" spans="1:16" s="317" customFormat="1" ht="18" x14ac:dyDescent="0.2">
      <c r="A83" s="336">
        <v>4</v>
      </c>
      <c r="B83" s="346" t="s">
        <v>861</v>
      </c>
      <c r="C83" s="346"/>
      <c r="D83" s="346"/>
      <c r="E83" s="318"/>
      <c r="F83" s="318"/>
      <c r="G83" s="319"/>
      <c r="H83" s="320"/>
      <c r="I83" s="321"/>
      <c r="J83" s="322"/>
      <c r="K83" s="322"/>
      <c r="L83" s="321"/>
      <c r="M83" s="322"/>
      <c r="N83" s="323"/>
      <c r="O83" s="323"/>
    </row>
    <row r="84" spans="1:16" customFormat="1" ht="23.25" customHeight="1" x14ac:dyDescent="0.2">
      <c r="A84" s="1"/>
      <c r="B84" s="417" t="s">
        <v>823</v>
      </c>
      <c r="C84" s="417"/>
      <c r="D84" s="417"/>
      <c r="E84" s="417"/>
      <c r="F84" s="417"/>
      <c r="O84" s="18"/>
      <c r="P84" s="24"/>
    </row>
    <row r="85" spans="1:16" s="2" customFormat="1" ht="24.75" customHeight="1" thickBot="1" x14ac:dyDescent="0.25">
      <c r="A85" s="418"/>
      <c r="B85" s="417" t="s">
        <v>824</v>
      </c>
      <c r="O85" s="418"/>
    </row>
    <row r="86" spans="1:16" ht="20" thickBot="1" x14ac:dyDescent="0.25">
      <c r="B86" s="537" t="s">
        <v>176</v>
      </c>
      <c r="C86" s="559"/>
      <c r="D86" s="559"/>
      <c r="E86" s="559"/>
      <c r="F86" s="559"/>
      <c r="G86" s="559"/>
      <c r="H86" s="559"/>
      <c r="I86" s="559"/>
      <c r="J86" s="559"/>
      <c r="K86" s="559"/>
      <c r="L86" s="559"/>
      <c r="M86" s="559"/>
      <c r="N86" s="560"/>
      <c r="O86" s="542"/>
    </row>
    <row r="87" spans="1:16" customFormat="1" ht="17" thickBot="1" x14ac:dyDescent="0.25"/>
    <row r="88" spans="1:16" ht="41.25" customHeight="1" x14ac:dyDescent="0.2">
      <c r="B88" s="561" t="s">
        <v>630</v>
      </c>
      <c r="C88" s="546" t="s">
        <v>126</v>
      </c>
      <c r="D88" s="547" t="s">
        <v>120</v>
      </c>
      <c r="E88" s="547" t="s">
        <v>146</v>
      </c>
      <c r="F88" s="547" t="s">
        <v>147</v>
      </c>
      <c r="G88" s="547" t="s">
        <v>148</v>
      </c>
      <c r="H88" s="547" t="s">
        <v>149</v>
      </c>
      <c r="I88" s="547" t="s">
        <v>150</v>
      </c>
      <c r="J88" s="547" t="s">
        <v>151</v>
      </c>
      <c r="K88" s="547" t="s">
        <v>152</v>
      </c>
      <c r="L88" s="547" t="s">
        <v>153</v>
      </c>
      <c r="M88" s="547" t="s">
        <v>154</v>
      </c>
      <c r="N88" s="547" t="s">
        <v>121</v>
      </c>
      <c r="O88" s="548" t="s">
        <v>155</v>
      </c>
    </row>
    <row r="89" spans="1:16" ht="51" x14ac:dyDescent="0.2">
      <c r="B89" s="549" t="s">
        <v>156</v>
      </c>
      <c r="C89" s="276" t="s">
        <v>157</v>
      </c>
      <c r="D89" s="354">
        <f t="shared" ref="D89:N89" si="16">$D$48*85%</f>
        <v>1428000</v>
      </c>
      <c r="E89" s="354">
        <f t="shared" si="16"/>
        <v>1428000</v>
      </c>
      <c r="F89" s="354">
        <f t="shared" si="16"/>
        <v>1428000</v>
      </c>
      <c r="G89" s="354">
        <f t="shared" si="16"/>
        <v>1428000</v>
      </c>
      <c r="H89" s="354">
        <f t="shared" si="16"/>
        <v>1428000</v>
      </c>
      <c r="I89" s="354">
        <f t="shared" si="16"/>
        <v>1428000</v>
      </c>
      <c r="J89" s="354">
        <f t="shared" si="16"/>
        <v>1428000</v>
      </c>
      <c r="K89" s="354">
        <f t="shared" si="16"/>
        <v>1428000</v>
      </c>
      <c r="L89" s="354">
        <f t="shared" si="16"/>
        <v>1428000</v>
      </c>
      <c r="M89" s="354">
        <f t="shared" si="16"/>
        <v>1428000</v>
      </c>
      <c r="N89" s="354">
        <f t="shared" si="16"/>
        <v>1428000</v>
      </c>
      <c r="O89" s="562" t="s">
        <v>179</v>
      </c>
    </row>
    <row r="90" spans="1:16" ht="51" x14ac:dyDescent="0.2">
      <c r="B90" s="549" t="s">
        <v>159</v>
      </c>
      <c r="C90" s="276" t="s">
        <v>157</v>
      </c>
      <c r="D90" s="354">
        <f t="shared" ref="D90:N90" si="17">$D$48*15%</f>
        <v>252000</v>
      </c>
      <c r="E90" s="354">
        <f t="shared" si="17"/>
        <v>252000</v>
      </c>
      <c r="F90" s="354">
        <f t="shared" si="17"/>
        <v>252000</v>
      </c>
      <c r="G90" s="354">
        <f t="shared" si="17"/>
        <v>252000</v>
      </c>
      <c r="H90" s="354">
        <f t="shared" si="17"/>
        <v>252000</v>
      </c>
      <c r="I90" s="354">
        <f t="shared" si="17"/>
        <v>252000</v>
      </c>
      <c r="J90" s="354">
        <f t="shared" si="17"/>
        <v>252000</v>
      </c>
      <c r="K90" s="354">
        <f t="shared" si="17"/>
        <v>252000</v>
      </c>
      <c r="L90" s="354">
        <f t="shared" si="17"/>
        <v>252000</v>
      </c>
      <c r="M90" s="354">
        <f t="shared" si="17"/>
        <v>252000</v>
      </c>
      <c r="N90" s="354">
        <f t="shared" si="17"/>
        <v>252000</v>
      </c>
      <c r="O90" s="562" t="s">
        <v>179</v>
      </c>
    </row>
    <row r="91" spans="1:16" ht="17" x14ac:dyDescent="0.2">
      <c r="B91" s="551" t="s">
        <v>177</v>
      </c>
      <c r="C91" s="146" t="s">
        <v>170</v>
      </c>
      <c r="D91" s="355">
        <v>0</v>
      </c>
      <c r="E91" s="355">
        <v>0</v>
      </c>
      <c r="F91" s="355">
        <v>0</v>
      </c>
      <c r="G91" s="355">
        <v>0.12</v>
      </c>
      <c r="H91" s="355">
        <v>0.184</v>
      </c>
      <c r="I91" s="355">
        <v>0.24</v>
      </c>
      <c r="J91" s="355">
        <v>0.29599999999999999</v>
      </c>
      <c r="K91" s="355">
        <v>0.33600000000000002</v>
      </c>
      <c r="L91" s="355">
        <v>0.4</v>
      </c>
      <c r="M91" s="355">
        <v>0.45</v>
      </c>
      <c r="N91" s="355">
        <v>0.5</v>
      </c>
      <c r="O91" s="550"/>
    </row>
    <row r="92" spans="1:16" ht="18" x14ac:dyDescent="0.2">
      <c r="B92" s="551" t="s">
        <v>160</v>
      </c>
      <c r="C92" s="146" t="s">
        <v>161</v>
      </c>
      <c r="D92" s="356">
        <f t="shared" ref="D92:N92" si="18">((($D$44*(D89/10^6))*D91)+((($D$42*(D89/10^6))*(1-D91))))</f>
        <v>105.672</v>
      </c>
      <c r="E92" s="356">
        <f t="shared" si="18"/>
        <v>105.672</v>
      </c>
      <c r="F92" s="356">
        <f t="shared" si="18"/>
        <v>105.672</v>
      </c>
      <c r="G92" s="356">
        <f t="shared" si="18"/>
        <v>104.32785216000001</v>
      </c>
      <c r="H92" s="356">
        <f t="shared" si="18"/>
        <v>103.610973312</v>
      </c>
      <c r="I92" s="356">
        <f t="shared" si="18"/>
        <v>102.98370432</v>
      </c>
      <c r="J92" s="356">
        <f t="shared" si="18"/>
        <v>102.35643532799999</v>
      </c>
      <c r="K92" s="356">
        <f t="shared" si="18"/>
        <v>101.90838604799998</v>
      </c>
      <c r="L92" s="356">
        <f t="shared" si="18"/>
        <v>101.1915072</v>
      </c>
      <c r="M92" s="356">
        <f t="shared" si="18"/>
        <v>100.63144560000001</v>
      </c>
      <c r="N92" s="356">
        <f t="shared" si="18"/>
        <v>100.07138399999999</v>
      </c>
      <c r="O92" s="550"/>
    </row>
    <row r="93" spans="1:16" ht="18" x14ac:dyDescent="0.2">
      <c r="B93" s="551" t="s">
        <v>162</v>
      </c>
      <c r="C93" s="146" t="s">
        <v>161</v>
      </c>
      <c r="D93" s="356">
        <f t="shared" ref="D93:N93" si="19">((($D$45*(D90/10^6))*D91)+((($D$43*(D90/10^6))*(1-D91))))</f>
        <v>11.843999999999999</v>
      </c>
      <c r="E93" s="356">
        <f t="shared" si="19"/>
        <v>11.843999999999999</v>
      </c>
      <c r="F93" s="356">
        <f t="shared" si="19"/>
        <v>11.843999999999999</v>
      </c>
      <c r="G93" s="356">
        <f t="shared" si="19"/>
        <v>11.69334432</v>
      </c>
      <c r="H93" s="356">
        <f t="shared" si="19"/>
        <v>11.612994624000001</v>
      </c>
      <c r="I93" s="356">
        <f t="shared" si="19"/>
        <v>11.542688639999998</v>
      </c>
      <c r="J93" s="356">
        <f t="shared" si="19"/>
        <v>11.472382655999999</v>
      </c>
      <c r="K93" s="356">
        <f t="shared" si="19"/>
        <v>11.422164095999999</v>
      </c>
      <c r="L93" s="356">
        <f t="shared" si="19"/>
        <v>11.341814400000001</v>
      </c>
      <c r="M93" s="356">
        <f t="shared" si="19"/>
        <v>11.2790412</v>
      </c>
      <c r="N93" s="356">
        <f t="shared" si="19"/>
        <v>11.216267999999999</v>
      </c>
      <c r="O93" s="550"/>
    </row>
    <row r="94" spans="1:16" ht="19" x14ac:dyDescent="0.2">
      <c r="B94" s="551" t="s">
        <v>178</v>
      </c>
      <c r="C94" s="146" t="s">
        <v>161</v>
      </c>
      <c r="D94" s="357">
        <f t="shared" ref="D94:N94" si="20">SUM(D92:D93)</f>
        <v>117.51599999999999</v>
      </c>
      <c r="E94" s="357">
        <f t="shared" si="20"/>
        <v>117.51599999999999</v>
      </c>
      <c r="F94" s="357">
        <f t="shared" si="20"/>
        <v>117.51599999999999</v>
      </c>
      <c r="G94" s="357">
        <f t="shared" si="20"/>
        <v>116.02119648</v>
      </c>
      <c r="H94" s="357">
        <f t="shared" si="20"/>
        <v>115.22396793599999</v>
      </c>
      <c r="I94" s="357">
        <f t="shared" si="20"/>
        <v>114.52639296</v>
      </c>
      <c r="J94" s="357">
        <f t="shared" si="20"/>
        <v>113.82881798399998</v>
      </c>
      <c r="K94" s="357">
        <f t="shared" si="20"/>
        <v>113.33055014399999</v>
      </c>
      <c r="L94" s="357">
        <f t="shared" si="20"/>
        <v>112.53332160000001</v>
      </c>
      <c r="M94" s="357">
        <f t="shared" si="20"/>
        <v>111.9104868</v>
      </c>
      <c r="N94" s="357">
        <f t="shared" si="20"/>
        <v>111.28765199999999</v>
      </c>
      <c r="O94" s="550"/>
    </row>
    <row r="95" spans="1:16" ht="37" thickBot="1" x14ac:dyDescent="0.25">
      <c r="B95" s="563" t="s">
        <v>723</v>
      </c>
      <c r="C95" s="564" t="s">
        <v>164</v>
      </c>
      <c r="D95" s="565">
        <f>D94*28</f>
        <v>3290.4479999999999</v>
      </c>
      <c r="E95" s="565">
        <f t="shared" ref="E95:N95" si="21">E94*28</f>
        <v>3290.4479999999999</v>
      </c>
      <c r="F95" s="565">
        <f t="shared" si="21"/>
        <v>3290.4479999999999</v>
      </c>
      <c r="G95" s="565">
        <f t="shared" si="21"/>
        <v>3248.5935014400002</v>
      </c>
      <c r="H95" s="565">
        <f t="shared" si="21"/>
        <v>3226.2711022079998</v>
      </c>
      <c r="I95" s="565">
        <f t="shared" si="21"/>
        <v>3206.73900288</v>
      </c>
      <c r="J95" s="565">
        <f t="shared" si="21"/>
        <v>3187.2069035519994</v>
      </c>
      <c r="K95" s="565">
        <f t="shared" si="21"/>
        <v>3173.2554040319997</v>
      </c>
      <c r="L95" s="565">
        <f t="shared" si="21"/>
        <v>3150.9330048000002</v>
      </c>
      <c r="M95" s="565">
        <f t="shared" si="21"/>
        <v>3133.4936304000003</v>
      </c>
      <c r="N95" s="565">
        <f t="shared" si="21"/>
        <v>3116.0542559999999</v>
      </c>
      <c r="O95" s="566"/>
    </row>
    <row r="96" spans="1:16" ht="17" thickBot="1" x14ac:dyDescent="0.25">
      <c r="C96" s="39"/>
      <c r="D96" s="39"/>
      <c r="E96" s="39"/>
      <c r="F96" s="39"/>
      <c r="G96" s="39"/>
      <c r="H96" s="39"/>
      <c r="I96" s="39"/>
      <c r="J96" s="39"/>
      <c r="K96" s="39"/>
      <c r="L96" s="39"/>
      <c r="M96" s="39"/>
      <c r="N96" s="39"/>
      <c r="O96" s="17"/>
    </row>
    <row r="97" spans="2:15" ht="19" x14ac:dyDescent="0.2">
      <c r="B97" s="561" t="s">
        <v>165</v>
      </c>
      <c r="C97" s="546" t="s">
        <v>126</v>
      </c>
      <c r="D97" s="547" t="s">
        <v>120</v>
      </c>
      <c r="E97" s="547" t="s">
        <v>146</v>
      </c>
      <c r="F97" s="547" t="s">
        <v>147</v>
      </c>
      <c r="G97" s="547" t="s">
        <v>148</v>
      </c>
      <c r="H97" s="547" t="s">
        <v>149</v>
      </c>
      <c r="I97" s="547" t="s">
        <v>150</v>
      </c>
      <c r="J97" s="547" t="s">
        <v>151</v>
      </c>
      <c r="K97" s="547" t="s">
        <v>152</v>
      </c>
      <c r="L97" s="547" t="s">
        <v>153</v>
      </c>
      <c r="M97" s="547" t="s">
        <v>154</v>
      </c>
      <c r="N97" s="547" t="s">
        <v>121</v>
      </c>
      <c r="O97" s="548" t="s">
        <v>155</v>
      </c>
    </row>
    <row r="98" spans="2:15" ht="51" x14ac:dyDescent="0.2">
      <c r="B98" s="551" t="s">
        <v>166</v>
      </c>
      <c r="C98" s="276" t="s">
        <v>157</v>
      </c>
      <c r="D98" s="354">
        <f>D49</f>
        <v>1428000</v>
      </c>
      <c r="E98" s="169">
        <f>$D$98</f>
        <v>1428000</v>
      </c>
      <c r="F98" s="169">
        <f t="shared" ref="F98:N98" si="22">$D$98</f>
        <v>1428000</v>
      </c>
      <c r="G98" s="169">
        <f t="shared" si="22"/>
        <v>1428000</v>
      </c>
      <c r="H98" s="169">
        <f t="shared" si="22"/>
        <v>1428000</v>
      </c>
      <c r="I98" s="169">
        <f t="shared" si="22"/>
        <v>1428000</v>
      </c>
      <c r="J98" s="169">
        <f t="shared" si="22"/>
        <v>1428000</v>
      </c>
      <c r="K98" s="169">
        <f t="shared" si="22"/>
        <v>1428000</v>
      </c>
      <c r="L98" s="169">
        <f t="shared" si="22"/>
        <v>1428000</v>
      </c>
      <c r="M98" s="169">
        <f t="shared" si="22"/>
        <v>1428000</v>
      </c>
      <c r="N98" s="169">
        <f t="shared" si="22"/>
        <v>1428000</v>
      </c>
      <c r="O98" s="562" t="s">
        <v>179</v>
      </c>
    </row>
    <row r="99" spans="2:15" ht="17" x14ac:dyDescent="0.2">
      <c r="B99" s="551" t="s">
        <v>167</v>
      </c>
      <c r="C99" s="146" t="s">
        <v>168</v>
      </c>
      <c r="D99" s="348">
        <f>(($D$32/1000)*$D$34)*365</f>
        <v>1557.2725000000003</v>
      </c>
      <c r="E99" s="348">
        <f>(($D$32/1000)*$D$34)*365</f>
        <v>1557.2725000000003</v>
      </c>
      <c r="F99" s="348">
        <f t="shared" ref="F99:N99" si="23">(($D$32/1000)*$D$34)*365</f>
        <v>1557.2725000000003</v>
      </c>
      <c r="G99" s="348">
        <f t="shared" si="23"/>
        <v>1557.2725000000003</v>
      </c>
      <c r="H99" s="348">
        <f t="shared" si="23"/>
        <v>1557.2725000000003</v>
      </c>
      <c r="I99" s="348">
        <f t="shared" si="23"/>
        <v>1557.2725000000003</v>
      </c>
      <c r="J99" s="348">
        <f t="shared" si="23"/>
        <v>1557.2725000000003</v>
      </c>
      <c r="K99" s="348">
        <f t="shared" si="23"/>
        <v>1557.2725000000003</v>
      </c>
      <c r="L99" s="348">
        <f t="shared" si="23"/>
        <v>1557.2725000000003</v>
      </c>
      <c r="M99" s="348">
        <f t="shared" si="23"/>
        <v>1557.2725000000003</v>
      </c>
      <c r="N99" s="348">
        <f t="shared" si="23"/>
        <v>1557.2725000000003</v>
      </c>
      <c r="O99" s="550"/>
    </row>
    <row r="100" spans="2:15" ht="34" x14ac:dyDescent="0.2">
      <c r="B100" s="551" t="s">
        <v>169</v>
      </c>
      <c r="C100" s="146" t="s">
        <v>170</v>
      </c>
      <c r="D100" s="358">
        <v>0.8</v>
      </c>
      <c r="E100" s="358">
        <v>0.8</v>
      </c>
      <c r="F100" s="358">
        <v>0.8</v>
      </c>
      <c r="G100" s="358">
        <v>0.8</v>
      </c>
      <c r="H100" s="358">
        <v>0.8</v>
      </c>
      <c r="I100" s="358">
        <v>0.8</v>
      </c>
      <c r="J100" s="358">
        <v>0.8</v>
      </c>
      <c r="K100" s="358">
        <v>0.8</v>
      </c>
      <c r="L100" s="358">
        <v>0.8</v>
      </c>
      <c r="M100" s="358">
        <v>0.8</v>
      </c>
      <c r="N100" s="358">
        <v>0.8</v>
      </c>
      <c r="O100" s="550" t="s">
        <v>171</v>
      </c>
    </row>
    <row r="101" spans="2:15" ht="68" x14ac:dyDescent="0.2">
      <c r="B101" s="551" t="s">
        <v>180</v>
      </c>
      <c r="C101" s="146" t="s">
        <v>170</v>
      </c>
      <c r="D101" s="355">
        <v>0</v>
      </c>
      <c r="E101" s="355">
        <v>0</v>
      </c>
      <c r="F101" s="355">
        <v>0</v>
      </c>
      <c r="G101" s="355">
        <v>0.12</v>
      </c>
      <c r="H101" s="355">
        <v>0.184</v>
      </c>
      <c r="I101" s="355">
        <v>0.24</v>
      </c>
      <c r="J101" s="355">
        <v>0.29599999999999999</v>
      </c>
      <c r="K101" s="355">
        <v>0.33600000000000002</v>
      </c>
      <c r="L101" s="355">
        <v>0.4</v>
      </c>
      <c r="M101" s="355">
        <v>0.45</v>
      </c>
      <c r="N101" s="355">
        <v>0.5</v>
      </c>
      <c r="O101" s="550" t="s">
        <v>778</v>
      </c>
    </row>
    <row r="102" spans="2:15" ht="19" x14ac:dyDescent="0.2">
      <c r="B102" s="551" t="s">
        <v>172</v>
      </c>
      <c r="C102" s="146" t="s">
        <v>173</v>
      </c>
      <c r="D102" s="354">
        <f t="shared" ref="D102:N102" si="24">(((D98*D99*D100*$D$39/1000)*D101)+(((D98*D99*D100*$D$38)/1000)*(1-D101)))</f>
        <v>7827723.6576000024</v>
      </c>
      <c r="E102" s="354">
        <f t="shared" si="24"/>
        <v>7827723.6576000024</v>
      </c>
      <c r="F102" s="354">
        <f t="shared" si="24"/>
        <v>7827723.6576000024</v>
      </c>
      <c r="G102" s="354">
        <f t="shared" si="24"/>
        <v>7358060.2381440029</v>
      </c>
      <c r="H102" s="354">
        <f t="shared" si="24"/>
        <v>7107573.0811008029</v>
      </c>
      <c r="I102" s="354">
        <f t="shared" si="24"/>
        <v>6888396.8186880015</v>
      </c>
      <c r="J102" s="354">
        <f t="shared" si="24"/>
        <v>6669220.556275202</v>
      </c>
      <c r="K102" s="354">
        <f t="shared" si="24"/>
        <v>6512666.0831232015</v>
      </c>
      <c r="L102" s="354">
        <f t="shared" si="24"/>
        <v>6262178.9260800024</v>
      </c>
      <c r="M102" s="354">
        <f t="shared" si="24"/>
        <v>6066485.8346400019</v>
      </c>
      <c r="N102" s="354">
        <f t="shared" si="24"/>
        <v>5870792.7432000022</v>
      </c>
      <c r="O102" s="550"/>
    </row>
    <row r="103" spans="2:15" ht="20" thickBot="1" x14ac:dyDescent="0.25">
      <c r="B103" s="552" t="s">
        <v>724</v>
      </c>
      <c r="C103" s="553" t="s">
        <v>164</v>
      </c>
      <c r="D103" s="567">
        <f>D102/1000000*28</f>
        <v>219.17626241280007</v>
      </c>
      <c r="E103" s="567">
        <f t="shared" ref="E103:N103" si="25">E102/1000000*28</f>
        <v>219.17626241280007</v>
      </c>
      <c r="F103" s="567">
        <f t="shared" si="25"/>
        <v>219.17626241280007</v>
      </c>
      <c r="G103" s="567">
        <f t="shared" si="25"/>
        <v>206.02568666803208</v>
      </c>
      <c r="H103" s="567">
        <f t="shared" si="25"/>
        <v>199.01204627082248</v>
      </c>
      <c r="I103" s="567">
        <f t="shared" si="25"/>
        <v>192.87511092326403</v>
      </c>
      <c r="J103" s="567">
        <f t="shared" si="25"/>
        <v>186.73817557570567</v>
      </c>
      <c r="K103" s="567">
        <f t="shared" si="25"/>
        <v>182.35465032744966</v>
      </c>
      <c r="L103" s="567">
        <f t="shared" si="25"/>
        <v>175.34100993024006</v>
      </c>
      <c r="M103" s="567">
        <f t="shared" si="25"/>
        <v>169.86160336992003</v>
      </c>
      <c r="N103" s="567">
        <f t="shared" si="25"/>
        <v>164.38219680960009</v>
      </c>
      <c r="O103" s="555"/>
    </row>
    <row r="104" spans="2:15" customFormat="1" ht="17" thickBot="1" x14ac:dyDescent="0.25"/>
    <row r="105" spans="2:15" ht="19" x14ac:dyDescent="0.2">
      <c r="B105" s="561" t="s">
        <v>174</v>
      </c>
      <c r="C105" s="546" t="s">
        <v>126</v>
      </c>
      <c r="D105" s="547" t="s">
        <v>120</v>
      </c>
      <c r="E105" s="547" t="s">
        <v>146</v>
      </c>
      <c r="F105" s="547" t="s">
        <v>147</v>
      </c>
      <c r="G105" s="547" t="s">
        <v>148</v>
      </c>
      <c r="H105" s="547" t="s">
        <v>149</v>
      </c>
      <c r="I105" s="547" t="s">
        <v>150</v>
      </c>
      <c r="J105" s="547" t="s">
        <v>151</v>
      </c>
      <c r="K105" s="547" t="s">
        <v>152</v>
      </c>
      <c r="L105" s="547" t="s">
        <v>153</v>
      </c>
      <c r="M105" s="547" t="s">
        <v>154</v>
      </c>
      <c r="N105" s="547" t="s">
        <v>121</v>
      </c>
      <c r="O105" s="548" t="s">
        <v>155</v>
      </c>
    </row>
    <row r="106" spans="2:15" ht="17" x14ac:dyDescent="0.2">
      <c r="B106" s="551" t="s">
        <v>166</v>
      </c>
      <c r="C106" s="276" t="s">
        <v>157</v>
      </c>
      <c r="D106" s="354">
        <f>D50</f>
        <v>252000</v>
      </c>
      <c r="E106" s="169">
        <f>D106</f>
        <v>252000</v>
      </c>
      <c r="F106" s="169">
        <f t="shared" ref="F106:N106" si="26">E106</f>
        <v>252000</v>
      </c>
      <c r="G106" s="169">
        <f t="shared" si="26"/>
        <v>252000</v>
      </c>
      <c r="H106" s="169">
        <f t="shared" si="26"/>
        <v>252000</v>
      </c>
      <c r="I106" s="169">
        <f t="shared" si="26"/>
        <v>252000</v>
      </c>
      <c r="J106" s="169">
        <f t="shared" si="26"/>
        <v>252000</v>
      </c>
      <c r="K106" s="169">
        <f t="shared" si="26"/>
        <v>252000</v>
      </c>
      <c r="L106" s="169">
        <f t="shared" si="26"/>
        <v>252000</v>
      </c>
      <c r="M106" s="169">
        <f t="shared" si="26"/>
        <v>252000</v>
      </c>
      <c r="N106" s="169">
        <f t="shared" si="26"/>
        <v>252000</v>
      </c>
      <c r="O106" s="550"/>
    </row>
    <row r="107" spans="2:15" ht="17" x14ac:dyDescent="0.2">
      <c r="B107" s="551" t="s">
        <v>167</v>
      </c>
      <c r="C107" s="146" t="s">
        <v>168</v>
      </c>
      <c r="D107" s="348">
        <f>(($D$33/1000)*$D$35)*365</f>
        <v>1353.42</v>
      </c>
      <c r="E107" s="348">
        <f t="shared" ref="E107:N107" si="27">(($D$33/1000)*$D$35)*365</f>
        <v>1353.42</v>
      </c>
      <c r="F107" s="348">
        <f t="shared" si="27"/>
        <v>1353.42</v>
      </c>
      <c r="G107" s="348">
        <f t="shared" si="27"/>
        <v>1353.42</v>
      </c>
      <c r="H107" s="348">
        <f t="shared" si="27"/>
        <v>1353.42</v>
      </c>
      <c r="I107" s="348">
        <f t="shared" si="27"/>
        <v>1353.42</v>
      </c>
      <c r="J107" s="348">
        <f t="shared" si="27"/>
        <v>1353.42</v>
      </c>
      <c r="K107" s="348">
        <f t="shared" si="27"/>
        <v>1353.42</v>
      </c>
      <c r="L107" s="348">
        <f t="shared" si="27"/>
        <v>1353.42</v>
      </c>
      <c r="M107" s="348">
        <f t="shared" si="27"/>
        <v>1353.42</v>
      </c>
      <c r="N107" s="348">
        <f t="shared" si="27"/>
        <v>1353.42</v>
      </c>
      <c r="O107" s="550"/>
    </row>
    <row r="108" spans="2:15" ht="34" x14ac:dyDescent="0.2">
      <c r="B108" s="551" t="s">
        <v>169</v>
      </c>
      <c r="C108" s="146" t="s">
        <v>170</v>
      </c>
      <c r="D108" s="358">
        <v>0.8</v>
      </c>
      <c r="E108" s="358">
        <v>0.8</v>
      </c>
      <c r="F108" s="358">
        <v>0.8</v>
      </c>
      <c r="G108" s="358">
        <v>0.8</v>
      </c>
      <c r="H108" s="358">
        <v>0.8</v>
      </c>
      <c r="I108" s="358">
        <v>0.8</v>
      </c>
      <c r="J108" s="358">
        <v>0.8</v>
      </c>
      <c r="K108" s="358">
        <v>0.8</v>
      </c>
      <c r="L108" s="358">
        <v>0.8</v>
      </c>
      <c r="M108" s="358">
        <v>0.8</v>
      </c>
      <c r="N108" s="358">
        <v>0.8</v>
      </c>
      <c r="O108" s="550"/>
    </row>
    <row r="109" spans="2:15" ht="17" x14ac:dyDescent="0.2">
      <c r="B109" s="551" t="s">
        <v>180</v>
      </c>
      <c r="C109" s="146" t="s">
        <v>170</v>
      </c>
      <c r="D109" s="355">
        <v>0</v>
      </c>
      <c r="E109" s="355">
        <v>0</v>
      </c>
      <c r="F109" s="355">
        <v>0</v>
      </c>
      <c r="G109" s="355">
        <v>0.12</v>
      </c>
      <c r="H109" s="355">
        <v>0.184</v>
      </c>
      <c r="I109" s="355">
        <v>0.24</v>
      </c>
      <c r="J109" s="355">
        <v>0.29599999999999999</v>
      </c>
      <c r="K109" s="355">
        <v>0.33600000000000002</v>
      </c>
      <c r="L109" s="355">
        <v>0.4</v>
      </c>
      <c r="M109" s="355">
        <v>0.45</v>
      </c>
      <c r="N109" s="355">
        <v>0.5</v>
      </c>
      <c r="O109" s="568"/>
    </row>
    <row r="110" spans="2:15" ht="19" x14ac:dyDescent="0.2">
      <c r="B110" s="551" t="s">
        <v>172</v>
      </c>
      <c r="C110" s="146" t="s">
        <v>173</v>
      </c>
      <c r="D110" s="354">
        <f t="shared" ref="D110:N110" si="28">(((D106*D107*D108*$D$39/1000)*D109)+(((D106*D107*D108*$D$38)/1000)*(1-D109)))</f>
        <v>1200537.6768000002</v>
      </c>
      <c r="E110" s="354">
        <f t="shared" si="28"/>
        <v>1200537.6768000002</v>
      </c>
      <c r="F110" s="354">
        <f t="shared" si="28"/>
        <v>1200537.6768000002</v>
      </c>
      <c r="G110" s="354">
        <f t="shared" si="28"/>
        <v>1128505.4161920003</v>
      </c>
      <c r="H110" s="354">
        <f t="shared" si="28"/>
        <v>1090088.2105344003</v>
      </c>
      <c r="I110" s="354">
        <f t="shared" si="28"/>
        <v>1056473.1555840003</v>
      </c>
      <c r="J110" s="354">
        <f t="shared" si="28"/>
        <v>1022858.1006336001</v>
      </c>
      <c r="K110" s="354">
        <f t="shared" si="28"/>
        <v>998847.34709760011</v>
      </c>
      <c r="L110" s="354">
        <f t="shared" si="28"/>
        <v>960430.14144000027</v>
      </c>
      <c r="M110" s="354">
        <f t="shared" si="28"/>
        <v>930416.69952000026</v>
      </c>
      <c r="N110" s="354">
        <f t="shared" si="28"/>
        <v>900403.25760000013</v>
      </c>
      <c r="O110" s="550"/>
    </row>
    <row r="111" spans="2:15" ht="19" x14ac:dyDescent="0.2">
      <c r="B111" s="569" t="s">
        <v>725</v>
      </c>
      <c r="C111" s="149" t="s">
        <v>164</v>
      </c>
      <c r="D111" s="285">
        <f>D110/1000000*28</f>
        <v>33.615054950400008</v>
      </c>
      <c r="E111" s="285">
        <f t="shared" ref="E111:N111" si="29">E110/1000000*28</f>
        <v>33.615054950400008</v>
      </c>
      <c r="F111" s="285">
        <f t="shared" si="29"/>
        <v>33.615054950400008</v>
      </c>
      <c r="G111" s="285">
        <f t="shared" si="29"/>
        <v>31.598151653376007</v>
      </c>
      <c r="H111" s="285">
        <f t="shared" si="29"/>
        <v>30.522469894963209</v>
      </c>
      <c r="I111" s="285">
        <f t="shared" si="29"/>
        <v>29.58124835635201</v>
      </c>
      <c r="J111" s="285">
        <f t="shared" si="29"/>
        <v>28.640026817740804</v>
      </c>
      <c r="K111" s="285">
        <f t="shared" si="29"/>
        <v>27.967725718732805</v>
      </c>
      <c r="L111" s="285">
        <f t="shared" si="29"/>
        <v>26.892043960320009</v>
      </c>
      <c r="M111" s="285">
        <f t="shared" si="29"/>
        <v>26.051667586560008</v>
      </c>
      <c r="N111" s="285">
        <f t="shared" si="29"/>
        <v>25.211291212800006</v>
      </c>
      <c r="O111" s="570"/>
    </row>
    <row r="112" spans="2:15" ht="37" thickBot="1" x14ac:dyDescent="0.25">
      <c r="B112" s="552" t="s">
        <v>726</v>
      </c>
      <c r="C112" s="553" t="s">
        <v>164</v>
      </c>
      <c r="D112" s="567">
        <f t="shared" ref="D112:N112" si="30">D103+D111</f>
        <v>252.79131736320008</v>
      </c>
      <c r="E112" s="567">
        <f t="shared" si="30"/>
        <v>252.79131736320008</v>
      </c>
      <c r="F112" s="567">
        <f t="shared" si="30"/>
        <v>252.79131736320008</v>
      </c>
      <c r="G112" s="567">
        <f t="shared" si="30"/>
        <v>237.62383832140807</v>
      </c>
      <c r="H112" s="567">
        <f t="shared" si="30"/>
        <v>229.5345161657857</v>
      </c>
      <c r="I112" s="567">
        <f t="shared" si="30"/>
        <v>222.45635927961604</v>
      </c>
      <c r="J112" s="567">
        <f t="shared" si="30"/>
        <v>215.37820239344649</v>
      </c>
      <c r="K112" s="567">
        <f t="shared" si="30"/>
        <v>210.32237604618246</v>
      </c>
      <c r="L112" s="567">
        <f t="shared" si="30"/>
        <v>202.23305389056009</v>
      </c>
      <c r="M112" s="567">
        <f t="shared" si="30"/>
        <v>195.91327095648003</v>
      </c>
      <c r="N112" s="567">
        <f t="shared" si="30"/>
        <v>189.59348802240009</v>
      </c>
      <c r="O112" s="555"/>
    </row>
    <row r="113" spans="1:15" customFormat="1" ht="17" thickBot="1" x14ac:dyDescent="0.25"/>
    <row r="114" spans="1:15" s="272" customFormat="1" ht="19" thickBot="1" x14ac:dyDescent="0.25">
      <c r="A114" s="338"/>
      <c r="B114" s="350" t="s">
        <v>628</v>
      </c>
      <c r="C114" s="351" t="s">
        <v>164</v>
      </c>
      <c r="D114" s="352">
        <f t="shared" ref="D114:N114" si="31">SUM(D95,D112)</f>
        <v>3543.2393173631999</v>
      </c>
      <c r="E114" s="352">
        <f t="shared" si="31"/>
        <v>3543.2393173631999</v>
      </c>
      <c r="F114" s="352">
        <f t="shared" si="31"/>
        <v>3543.2393173631999</v>
      </c>
      <c r="G114" s="352">
        <f t="shared" si="31"/>
        <v>3486.2173397614083</v>
      </c>
      <c r="H114" s="352">
        <f t="shared" si="31"/>
        <v>3455.8056183737854</v>
      </c>
      <c r="I114" s="352">
        <f t="shared" si="31"/>
        <v>3429.1953621596163</v>
      </c>
      <c r="J114" s="352">
        <f t="shared" si="31"/>
        <v>3402.5851059454458</v>
      </c>
      <c r="K114" s="352">
        <f t="shared" si="31"/>
        <v>3383.5777800781821</v>
      </c>
      <c r="L114" s="352">
        <f t="shared" si="31"/>
        <v>3353.16605869056</v>
      </c>
      <c r="M114" s="352">
        <f t="shared" si="31"/>
        <v>3329.4069013564804</v>
      </c>
      <c r="N114" s="353">
        <f t="shared" si="31"/>
        <v>3305.6477440223998</v>
      </c>
      <c r="O114"/>
    </row>
    <row r="115" spans="1:15" x14ac:dyDescent="0.2">
      <c r="C115" s="24"/>
      <c r="D115" s="24"/>
      <c r="E115" s="24"/>
      <c r="O115" s="17"/>
    </row>
    <row r="116" spans="1:15" ht="19" thickBot="1" x14ac:dyDescent="0.25">
      <c r="B116" s="326"/>
      <c r="C116" s="39"/>
      <c r="D116" s="14"/>
      <c r="E116" s="14"/>
      <c r="F116" s="14"/>
      <c r="G116" s="14"/>
      <c r="H116" s="14"/>
      <c r="I116" s="14"/>
      <c r="J116" s="14"/>
      <c r="K116" s="14"/>
      <c r="L116" s="14"/>
      <c r="M116" s="14"/>
      <c r="N116" s="14"/>
      <c r="O116" s="17"/>
    </row>
    <row r="117" spans="1:15" ht="27" customHeight="1" thickBot="1" x14ac:dyDescent="0.25">
      <c r="B117" s="537" t="s">
        <v>181</v>
      </c>
      <c r="C117" s="559"/>
      <c r="D117" s="559"/>
      <c r="E117" s="559"/>
      <c r="F117" s="559"/>
      <c r="G117" s="559"/>
      <c r="H117" s="559"/>
      <c r="I117" s="559"/>
      <c r="J117" s="559"/>
      <c r="K117" s="559"/>
      <c r="L117" s="559"/>
      <c r="M117" s="559"/>
      <c r="N117" s="560"/>
      <c r="O117" s="542"/>
    </row>
    <row r="118" spans="1:15" customFormat="1" ht="17" thickBot="1" x14ac:dyDescent="0.25"/>
    <row r="119" spans="1:15" ht="40.5" customHeight="1" x14ac:dyDescent="0.2">
      <c r="B119" s="561" t="s">
        <v>630</v>
      </c>
      <c r="C119" s="546" t="s">
        <v>126</v>
      </c>
      <c r="D119" s="547" t="s">
        <v>120</v>
      </c>
      <c r="E119" s="547" t="s">
        <v>146</v>
      </c>
      <c r="F119" s="547" t="s">
        <v>147</v>
      </c>
      <c r="G119" s="547" t="s">
        <v>148</v>
      </c>
      <c r="H119" s="547" t="s">
        <v>149</v>
      </c>
      <c r="I119" s="547" t="s">
        <v>150</v>
      </c>
      <c r="J119" s="547" t="s">
        <v>151</v>
      </c>
      <c r="K119" s="547" t="s">
        <v>152</v>
      </c>
      <c r="L119" s="547" t="s">
        <v>153</v>
      </c>
      <c r="M119" s="547" t="s">
        <v>154</v>
      </c>
      <c r="N119" s="547" t="s">
        <v>121</v>
      </c>
      <c r="O119" s="548" t="s">
        <v>155</v>
      </c>
    </row>
    <row r="120" spans="1:15" ht="17" x14ac:dyDescent="0.2">
      <c r="B120" s="549" t="s">
        <v>156</v>
      </c>
      <c r="C120" s="276" t="s">
        <v>157</v>
      </c>
      <c r="D120" s="354">
        <f>D48*85%</f>
        <v>1428000</v>
      </c>
      <c r="E120" s="354">
        <f>D120*1.01</f>
        <v>1442280</v>
      </c>
      <c r="F120" s="354">
        <f>E120*1.01</f>
        <v>1456702.8</v>
      </c>
      <c r="G120" s="354">
        <f t="shared" ref="G120:N121" si="32">F120*1.01</f>
        <v>1471269.828</v>
      </c>
      <c r="H120" s="354">
        <f t="shared" si="32"/>
        <v>1485982.5262800001</v>
      </c>
      <c r="I120" s="354">
        <f t="shared" si="32"/>
        <v>1500842.3515428002</v>
      </c>
      <c r="J120" s="354">
        <f t="shared" si="32"/>
        <v>1515850.7750582283</v>
      </c>
      <c r="K120" s="354">
        <f t="shared" si="32"/>
        <v>1531009.2828088105</v>
      </c>
      <c r="L120" s="354">
        <f t="shared" si="32"/>
        <v>1546319.3756368987</v>
      </c>
      <c r="M120" s="354">
        <f t="shared" si="32"/>
        <v>1561782.5693932676</v>
      </c>
      <c r="N120" s="354">
        <f t="shared" si="32"/>
        <v>1577400.3950872002</v>
      </c>
      <c r="O120" s="550" t="s">
        <v>182</v>
      </c>
    </row>
    <row r="121" spans="1:15" ht="17" x14ac:dyDescent="0.2">
      <c r="B121" s="549" t="s">
        <v>159</v>
      </c>
      <c r="C121" s="276" t="s">
        <v>157</v>
      </c>
      <c r="D121" s="354">
        <f>D48*15%</f>
        <v>252000</v>
      </c>
      <c r="E121" s="354">
        <f>D121*1.01</f>
        <v>254520</v>
      </c>
      <c r="F121" s="354">
        <f>E121*1.01</f>
        <v>257065.2</v>
      </c>
      <c r="G121" s="354">
        <f t="shared" si="32"/>
        <v>259635.85200000001</v>
      </c>
      <c r="H121" s="354">
        <f t="shared" si="32"/>
        <v>262232.21052000002</v>
      </c>
      <c r="I121" s="354">
        <f t="shared" si="32"/>
        <v>264854.53262520005</v>
      </c>
      <c r="J121" s="354">
        <f t="shared" si="32"/>
        <v>267503.07795145205</v>
      </c>
      <c r="K121" s="354">
        <f t="shared" si="32"/>
        <v>270178.10873096657</v>
      </c>
      <c r="L121" s="354">
        <f t="shared" si="32"/>
        <v>272879.88981827622</v>
      </c>
      <c r="M121" s="354">
        <f t="shared" si="32"/>
        <v>275608.68871645897</v>
      </c>
      <c r="N121" s="354">
        <f t="shared" si="32"/>
        <v>278364.77560362354</v>
      </c>
      <c r="O121" s="550" t="s">
        <v>182</v>
      </c>
    </row>
    <row r="122" spans="1:15" ht="17" x14ac:dyDescent="0.2">
      <c r="B122" s="551" t="s">
        <v>177</v>
      </c>
      <c r="C122" s="146" t="s">
        <v>170</v>
      </c>
      <c r="D122" s="355">
        <v>0</v>
      </c>
      <c r="E122" s="355">
        <v>0</v>
      </c>
      <c r="F122" s="355">
        <v>0</v>
      </c>
      <c r="G122" s="355">
        <v>0.04</v>
      </c>
      <c r="H122" s="355">
        <v>0.06</v>
      </c>
      <c r="I122" s="355">
        <v>0.08</v>
      </c>
      <c r="J122" s="355">
        <v>0.09</v>
      </c>
      <c r="K122" s="355">
        <v>0.11</v>
      </c>
      <c r="L122" s="355">
        <v>0.13</v>
      </c>
      <c r="M122" s="355">
        <v>0.15</v>
      </c>
      <c r="N122" s="355">
        <v>0.2</v>
      </c>
      <c r="O122" s="550"/>
    </row>
    <row r="123" spans="1:15" ht="18" x14ac:dyDescent="0.2">
      <c r="B123" s="551" t="s">
        <v>160</v>
      </c>
      <c r="C123" s="146" t="s">
        <v>161</v>
      </c>
      <c r="D123" s="356">
        <f t="shared" ref="D123:N123" si="33">((($D$44*(D120/10^6))*D122)+((($D$42*(D120/10^6))*(1-D122))))</f>
        <v>105.672</v>
      </c>
      <c r="E123" s="356">
        <f t="shared" si="33"/>
        <v>106.72872</v>
      </c>
      <c r="F123" s="356">
        <f t="shared" si="33"/>
        <v>107.79600719999999</v>
      </c>
      <c r="G123" s="356">
        <f t="shared" si="33"/>
        <v>108.41234165076671</v>
      </c>
      <c r="H123" s="356">
        <f t="shared" si="33"/>
        <v>109.26334412855158</v>
      </c>
      <c r="I123" s="356">
        <f t="shared" si="33"/>
        <v>110.12052542172708</v>
      </c>
      <c r="J123" s="356">
        <f t="shared" si="33"/>
        <v>111.10282734114878</v>
      </c>
      <c r="K123" s="356">
        <f t="shared" si="33"/>
        <v>111.97367087827323</v>
      </c>
      <c r="L123" s="356">
        <f t="shared" si="33"/>
        <v>112.85082100340604</v>
      </c>
      <c r="M123" s="356">
        <f t="shared" si="33"/>
        <v>113.73431676395369</v>
      </c>
      <c r="N123" s="356">
        <f t="shared" si="33"/>
        <v>114.25300349664002</v>
      </c>
      <c r="O123" s="550"/>
    </row>
    <row r="124" spans="1:15" ht="18" x14ac:dyDescent="0.2">
      <c r="B124" s="551" t="s">
        <v>162</v>
      </c>
      <c r="C124" s="146" t="s">
        <v>161</v>
      </c>
      <c r="D124" s="356">
        <f t="shared" ref="D124:N124" si="34">((($D$45*(D121/10^6))*D122)+((($D$43*(D121/10^6))*(1-D122))))</f>
        <v>11.843999999999999</v>
      </c>
      <c r="E124" s="356">
        <f t="shared" si="34"/>
        <v>11.962440000000001</v>
      </c>
      <c r="F124" s="356">
        <f t="shared" si="34"/>
        <v>12.0820644</v>
      </c>
      <c r="G124" s="356">
        <f t="shared" si="34"/>
        <v>12.15114481141344</v>
      </c>
      <c r="H124" s="356">
        <f t="shared" si="34"/>
        <v>12.246527442071361</v>
      </c>
      <c r="I124" s="356">
        <f t="shared" si="34"/>
        <v>12.342602610861304</v>
      </c>
      <c r="J124" s="356">
        <f t="shared" si="34"/>
        <v>12.452701633626376</v>
      </c>
      <c r="K124" s="356">
        <f t="shared" si="34"/>
        <v>12.550308103208685</v>
      </c>
      <c r="L124" s="356">
        <f t="shared" si="34"/>
        <v>12.648621432019278</v>
      </c>
      <c r="M124" s="356">
        <f t="shared" si="34"/>
        <v>12.747645996595763</v>
      </c>
      <c r="N124" s="356">
        <f t="shared" si="34"/>
        <v>12.805781790958857</v>
      </c>
      <c r="O124" s="550"/>
    </row>
    <row r="125" spans="1:15" ht="19" x14ac:dyDescent="0.2">
      <c r="B125" s="551" t="s">
        <v>183</v>
      </c>
      <c r="C125" s="146" t="s">
        <v>161</v>
      </c>
      <c r="D125" s="357">
        <f t="shared" ref="D125:N125" si="35">SUM(D123:D124)</f>
        <v>117.51599999999999</v>
      </c>
      <c r="E125" s="357">
        <f t="shared" si="35"/>
        <v>118.69116</v>
      </c>
      <c r="F125" s="357">
        <f t="shared" si="35"/>
        <v>119.8780716</v>
      </c>
      <c r="G125" s="357">
        <f t="shared" si="35"/>
        <v>120.56348646218015</v>
      </c>
      <c r="H125" s="357">
        <f t="shared" si="35"/>
        <v>121.50987157062295</v>
      </c>
      <c r="I125" s="357">
        <f t="shared" si="35"/>
        <v>122.46312803258839</v>
      </c>
      <c r="J125" s="357">
        <f t="shared" si="35"/>
        <v>123.55552897477516</v>
      </c>
      <c r="K125" s="357">
        <f t="shared" si="35"/>
        <v>124.52397898148192</v>
      </c>
      <c r="L125" s="357">
        <f t="shared" si="35"/>
        <v>125.49944243542532</v>
      </c>
      <c r="M125" s="357">
        <f t="shared" si="35"/>
        <v>126.48196276054945</v>
      </c>
      <c r="N125" s="357">
        <f t="shared" si="35"/>
        <v>127.05878528759888</v>
      </c>
      <c r="O125" s="550"/>
    </row>
    <row r="126" spans="1:15" ht="37" thickBot="1" x14ac:dyDescent="0.25">
      <c r="B126" s="552" t="s">
        <v>727</v>
      </c>
      <c r="C126" s="553" t="s">
        <v>164</v>
      </c>
      <c r="D126" s="567">
        <f>D125*28</f>
        <v>3290.4479999999999</v>
      </c>
      <c r="E126" s="567">
        <f t="shared" ref="E126:N126" si="36">E125*28</f>
        <v>3323.35248</v>
      </c>
      <c r="F126" s="567">
        <f t="shared" si="36"/>
        <v>3356.5860048</v>
      </c>
      <c r="G126" s="567">
        <f t="shared" si="36"/>
        <v>3375.777620941044</v>
      </c>
      <c r="H126" s="567">
        <f t="shared" si="36"/>
        <v>3402.2764039774424</v>
      </c>
      <c r="I126" s="567">
        <f t="shared" si="36"/>
        <v>3428.9675849124746</v>
      </c>
      <c r="J126" s="567">
        <f t="shared" si="36"/>
        <v>3459.5548112937045</v>
      </c>
      <c r="K126" s="567">
        <f t="shared" si="36"/>
        <v>3486.6714114814936</v>
      </c>
      <c r="L126" s="567">
        <f t="shared" si="36"/>
        <v>3513.9843881919091</v>
      </c>
      <c r="M126" s="567">
        <f t="shared" si="36"/>
        <v>3541.4949572953847</v>
      </c>
      <c r="N126" s="567">
        <f t="shared" si="36"/>
        <v>3557.6459880527686</v>
      </c>
      <c r="O126" s="555"/>
    </row>
    <row r="127" spans="1:15" customFormat="1" ht="17" thickBot="1" x14ac:dyDescent="0.25"/>
    <row r="128" spans="1:15" ht="19" x14ac:dyDescent="0.2">
      <c r="B128" s="545" t="s">
        <v>165</v>
      </c>
      <c r="C128" s="572" t="s">
        <v>126</v>
      </c>
      <c r="D128" s="573" t="s">
        <v>120</v>
      </c>
      <c r="E128" s="573" t="s">
        <v>146</v>
      </c>
      <c r="F128" s="573" t="s">
        <v>147</v>
      </c>
      <c r="G128" s="573" t="s">
        <v>148</v>
      </c>
      <c r="H128" s="573" t="s">
        <v>149</v>
      </c>
      <c r="I128" s="573" t="s">
        <v>150</v>
      </c>
      <c r="J128" s="573" t="s">
        <v>151</v>
      </c>
      <c r="K128" s="573" t="s">
        <v>152</v>
      </c>
      <c r="L128" s="573" t="s">
        <v>153</v>
      </c>
      <c r="M128" s="573" t="s">
        <v>154</v>
      </c>
      <c r="N128" s="574" t="s">
        <v>121</v>
      </c>
      <c r="O128" s="575" t="s">
        <v>155</v>
      </c>
    </row>
    <row r="129" spans="1:15" ht="17" x14ac:dyDescent="0.2">
      <c r="B129" s="576" t="s">
        <v>166</v>
      </c>
      <c r="C129" s="94" t="s">
        <v>157</v>
      </c>
      <c r="D129" s="128">
        <f>D49</f>
        <v>1428000</v>
      </c>
      <c r="E129" s="128">
        <f>D129*1.01</f>
        <v>1442280</v>
      </c>
      <c r="F129" s="128">
        <f t="shared" ref="F129:N129" si="37">E129*1.01</f>
        <v>1456702.8</v>
      </c>
      <c r="G129" s="128">
        <f t="shared" si="37"/>
        <v>1471269.828</v>
      </c>
      <c r="H129" s="128">
        <f t="shared" si="37"/>
        <v>1485982.5262800001</v>
      </c>
      <c r="I129" s="128">
        <f t="shared" si="37"/>
        <v>1500842.3515428002</v>
      </c>
      <c r="J129" s="128">
        <f t="shared" si="37"/>
        <v>1515850.7750582283</v>
      </c>
      <c r="K129" s="128">
        <f t="shared" si="37"/>
        <v>1531009.2828088105</v>
      </c>
      <c r="L129" s="128">
        <f t="shared" si="37"/>
        <v>1546319.3756368987</v>
      </c>
      <c r="M129" s="128">
        <f t="shared" si="37"/>
        <v>1561782.5693932676</v>
      </c>
      <c r="N129" s="130">
        <f t="shared" si="37"/>
        <v>1577400.3950872002</v>
      </c>
      <c r="O129" s="577" t="s">
        <v>182</v>
      </c>
    </row>
    <row r="130" spans="1:15" ht="17" x14ac:dyDescent="0.2">
      <c r="B130" s="576" t="s">
        <v>167</v>
      </c>
      <c r="C130" s="90" t="s">
        <v>168</v>
      </c>
      <c r="D130" s="127">
        <f>(($D$32/1000)*$D$34)*365</f>
        <v>1557.2725000000003</v>
      </c>
      <c r="E130" s="127">
        <f>(($D$32/1000)*$D$34)*365</f>
        <v>1557.2725000000003</v>
      </c>
      <c r="F130" s="127">
        <f t="shared" ref="F130:N130" si="38">(($D$32/1000)*$D$34)*365</f>
        <v>1557.2725000000003</v>
      </c>
      <c r="G130" s="127">
        <f t="shared" si="38"/>
        <v>1557.2725000000003</v>
      </c>
      <c r="H130" s="127">
        <f t="shared" si="38"/>
        <v>1557.2725000000003</v>
      </c>
      <c r="I130" s="127">
        <f t="shared" si="38"/>
        <v>1557.2725000000003</v>
      </c>
      <c r="J130" s="127">
        <f t="shared" si="38"/>
        <v>1557.2725000000003</v>
      </c>
      <c r="K130" s="127">
        <f t="shared" si="38"/>
        <v>1557.2725000000003</v>
      </c>
      <c r="L130" s="127">
        <f t="shared" si="38"/>
        <v>1557.2725000000003</v>
      </c>
      <c r="M130" s="127">
        <f t="shared" si="38"/>
        <v>1557.2725000000003</v>
      </c>
      <c r="N130" s="127">
        <f t="shared" si="38"/>
        <v>1557.2725000000003</v>
      </c>
      <c r="O130" s="577"/>
    </row>
    <row r="131" spans="1:15" ht="34" x14ac:dyDescent="0.2">
      <c r="B131" s="576" t="s">
        <v>169</v>
      </c>
      <c r="C131" s="90" t="s">
        <v>170</v>
      </c>
      <c r="D131" s="133">
        <v>0.8</v>
      </c>
      <c r="E131" s="133">
        <v>0.8</v>
      </c>
      <c r="F131" s="133">
        <v>0.8</v>
      </c>
      <c r="G131" s="133">
        <v>0.8</v>
      </c>
      <c r="H131" s="133">
        <v>0.8</v>
      </c>
      <c r="I131" s="133">
        <v>0.8</v>
      </c>
      <c r="J131" s="133">
        <v>0.8</v>
      </c>
      <c r="K131" s="133">
        <v>0.8</v>
      </c>
      <c r="L131" s="133">
        <v>0.8</v>
      </c>
      <c r="M131" s="133">
        <v>0.8</v>
      </c>
      <c r="N131" s="135">
        <v>0.8</v>
      </c>
      <c r="O131" s="577" t="s">
        <v>171</v>
      </c>
    </row>
    <row r="132" spans="1:15" ht="68" x14ac:dyDescent="0.2">
      <c r="B132" s="576" t="s">
        <v>180</v>
      </c>
      <c r="C132" s="90" t="s">
        <v>170</v>
      </c>
      <c r="D132" s="131">
        <v>0</v>
      </c>
      <c r="E132" s="131">
        <v>0</v>
      </c>
      <c r="F132" s="131">
        <v>0</v>
      </c>
      <c r="G132" s="131">
        <v>0.04</v>
      </c>
      <c r="H132" s="131">
        <v>0.06</v>
      </c>
      <c r="I132" s="131">
        <v>0.08</v>
      </c>
      <c r="J132" s="131">
        <v>0.09</v>
      </c>
      <c r="K132" s="131">
        <v>0.11</v>
      </c>
      <c r="L132" s="131">
        <v>0.13</v>
      </c>
      <c r="M132" s="131">
        <v>0.15</v>
      </c>
      <c r="N132" s="134">
        <v>0.2</v>
      </c>
      <c r="O132" s="577" t="s">
        <v>777</v>
      </c>
    </row>
    <row r="133" spans="1:15" ht="19" x14ac:dyDescent="0.2">
      <c r="B133" s="576" t="s">
        <v>172</v>
      </c>
      <c r="C133" s="90" t="s">
        <v>173</v>
      </c>
      <c r="D133" s="128">
        <f t="shared" ref="D133:N133" si="39">(((D129*D130*D131*$D$39/1000)*D132)+(((D129*D130*D131*$D$38)/1000)*(1-D132)))</f>
        <v>7827723.6576000024</v>
      </c>
      <c r="E133" s="128">
        <f t="shared" si="39"/>
        <v>7906000.8941760017</v>
      </c>
      <c r="F133" s="128">
        <f t="shared" si="39"/>
        <v>7985060.9031177629</v>
      </c>
      <c r="G133" s="128">
        <f t="shared" si="39"/>
        <v>7903613.2819059603</v>
      </c>
      <c r="H133" s="128">
        <f t="shared" si="39"/>
        <v>7901193.8084523166</v>
      </c>
      <c r="I133" s="128">
        <f t="shared" si="39"/>
        <v>7897935.5842014104</v>
      </c>
      <c r="J133" s="128">
        <f t="shared" si="39"/>
        <v>7935368.5080640316</v>
      </c>
      <c r="K133" s="128">
        <f t="shared" si="39"/>
        <v>7930798.4005462974</v>
      </c>
      <c r="L133" s="128">
        <f t="shared" si="39"/>
        <v>7925343.3540274035</v>
      </c>
      <c r="M133" s="128">
        <f t="shared" si="39"/>
        <v>7918986.1267380761</v>
      </c>
      <c r="N133" s="128">
        <f t="shared" si="39"/>
        <v>7782009.0694107153</v>
      </c>
      <c r="O133" s="577"/>
    </row>
    <row r="134" spans="1:15" s="272" customFormat="1" ht="20" thickBot="1" x14ac:dyDescent="0.25">
      <c r="A134" s="338"/>
      <c r="B134" s="578" t="s">
        <v>728</v>
      </c>
      <c r="C134" s="579" t="s">
        <v>164</v>
      </c>
      <c r="D134" s="580">
        <f>D133/1000000*28</f>
        <v>219.17626241280007</v>
      </c>
      <c r="E134" s="580">
        <f t="shared" ref="E134:N134" si="40">E133/1000000*28</f>
        <v>221.36802503692803</v>
      </c>
      <c r="F134" s="580">
        <f t="shared" si="40"/>
        <v>223.58170528729735</v>
      </c>
      <c r="G134" s="580">
        <f t="shared" si="40"/>
        <v>221.30117189336687</v>
      </c>
      <c r="H134" s="580">
        <f t="shared" si="40"/>
        <v>221.23342663666486</v>
      </c>
      <c r="I134" s="580">
        <f t="shared" si="40"/>
        <v>221.14219635763948</v>
      </c>
      <c r="J134" s="580">
        <f t="shared" si="40"/>
        <v>222.19031822579288</v>
      </c>
      <c r="K134" s="580">
        <f t="shared" si="40"/>
        <v>222.06235521529635</v>
      </c>
      <c r="L134" s="580">
        <f t="shared" si="40"/>
        <v>221.9096139127673</v>
      </c>
      <c r="M134" s="580">
        <f t="shared" si="40"/>
        <v>221.73161154866614</v>
      </c>
      <c r="N134" s="580">
        <f t="shared" si="40"/>
        <v>217.89625394350003</v>
      </c>
      <c r="O134" s="581"/>
    </row>
    <row r="135" spans="1:15" customFormat="1" ht="17" thickBot="1" x14ac:dyDescent="0.25"/>
    <row r="136" spans="1:15" ht="19" x14ac:dyDescent="0.2">
      <c r="B136" s="545" t="s">
        <v>174</v>
      </c>
      <c r="C136" s="572" t="s">
        <v>126</v>
      </c>
      <c r="D136" s="573" t="s">
        <v>120</v>
      </c>
      <c r="E136" s="573" t="s">
        <v>146</v>
      </c>
      <c r="F136" s="573" t="s">
        <v>147</v>
      </c>
      <c r="G136" s="573" t="s">
        <v>148</v>
      </c>
      <c r="H136" s="573" t="s">
        <v>149</v>
      </c>
      <c r="I136" s="573" t="s">
        <v>150</v>
      </c>
      <c r="J136" s="573" t="s">
        <v>151</v>
      </c>
      <c r="K136" s="573" t="s">
        <v>152</v>
      </c>
      <c r="L136" s="573" t="s">
        <v>153</v>
      </c>
      <c r="M136" s="573" t="s">
        <v>154</v>
      </c>
      <c r="N136" s="574" t="s">
        <v>121</v>
      </c>
      <c r="O136" s="575" t="s">
        <v>155</v>
      </c>
    </row>
    <row r="137" spans="1:15" ht="17" x14ac:dyDescent="0.2">
      <c r="B137" s="576" t="s">
        <v>166</v>
      </c>
      <c r="C137" s="94" t="s">
        <v>157</v>
      </c>
      <c r="D137" s="128">
        <f>D50</f>
        <v>252000</v>
      </c>
      <c r="E137" s="125">
        <f>D137*1.01</f>
        <v>254520</v>
      </c>
      <c r="F137" s="125">
        <f t="shared" ref="F137:N137" si="41">E137*1.01</f>
        <v>257065.2</v>
      </c>
      <c r="G137" s="125">
        <f t="shared" si="41"/>
        <v>259635.85200000001</v>
      </c>
      <c r="H137" s="125">
        <f t="shared" si="41"/>
        <v>262232.21052000002</v>
      </c>
      <c r="I137" s="125">
        <f t="shared" si="41"/>
        <v>264854.53262520005</v>
      </c>
      <c r="J137" s="125">
        <f t="shared" si="41"/>
        <v>267503.07795145205</v>
      </c>
      <c r="K137" s="125">
        <f t="shared" si="41"/>
        <v>270178.10873096657</v>
      </c>
      <c r="L137" s="125">
        <f t="shared" si="41"/>
        <v>272879.88981827622</v>
      </c>
      <c r="M137" s="125">
        <f t="shared" si="41"/>
        <v>275608.68871645897</v>
      </c>
      <c r="N137" s="129">
        <f t="shared" si="41"/>
        <v>278364.77560362354</v>
      </c>
      <c r="O137" s="582"/>
    </row>
    <row r="138" spans="1:15" ht="17" x14ac:dyDescent="0.2">
      <c r="B138" s="576" t="s">
        <v>167</v>
      </c>
      <c r="C138" s="90" t="s">
        <v>168</v>
      </c>
      <c r="D138" s="127">
        <f>(($D$33/1000)*$D$35)*365</f>
        <v>1353.42</v>
      </c>
      <c r="E138" s="127">
        <f t="shared" ref="E138:N138" si="42">(($D$33/1000)*$D$35)*365</f>
        <v>1353.42</v>
      </c>
      <c r="F138" s="127">
        <f t="shared" si="42"/>
        <v>1353.42</v>
      </c>
      <c r="G138" s="127">
        <f t="shared" si="42"/>
        <v>1353.42</v>
      </c>
      <c r="H138" s="127">
        <f t="shared" si="42"/>
        <v>1353.42</v>
      </c>
      <c r="I138" s="127">
        <f t="shared" si="42"/>
        <v>1353.42</v>
      </c>
      <c r="J138" s="127">
        <f t="shared" si="42"/>
        <v>1353.42</v>
      </c>
      <c r="K138" s="127">
        <f t="shared" si="42"/>
        <v>1353.42</v>
      </c>
      <c r="L138" s="127">
        <f t="shared" si="42"/>
        <v>1353.42</v>
      </c>
      <c r="M138" s="127">
        <f t="shared" si="42"/>
        <v>1353.42</v>
      </c>
      <c r="N138" s="127">
        <f t="shared" si="42"/>
        <v>1353.42</v>
      </c>
      <c r="O138" s="577"/>
    </row>
    <row r="139" spans="1:15" ht="34" x14ac:dyDescent="0.2">
      <c r="B139" s="576" t="s">
        <v>169</v>
      </c>
      <c r="C139" s="90" t="s">
        <v>170</v>
      </c>
      <c r="D139" s="133">
        <v>0.8</v>
      </c>
      <c r="E139" s="133">
        <v>0.8</v>
      </c>
      <c r="F139" s="133">
        <v>0.8</v>
      </c>
      <c r="G139" s="133">
        <v>0.8</v>
      </c>
      <c r="H139" s="133">
        <v>0.8</v>
      </c>
      <c r="I139" s="133">
        <v>0.8</v>
      </c>
      <c r="J139" s="133">
        <v>0.8</v>
      </c>
      <c r="K139" s="133">
        <v>0.8</v>
      </c>
      <c r="L139" s="133">
        <v>0.8</v>
      </c>
      <c r="M139" s="133">
        <v>0.8</v>
      </c>
      <c r="N139" s="135">
        <v>0.8</v>
      </c>
      <c r="O139" s="577"/>
    </row>
    <row r="140" spans="1:15" ht="17" x14ac:dyDescent="0.2">
      <c r="B140" s="576" t="s">
        <v>180</v>
      </c>
      <c r="C140" s="90" t="s">
        <v>170</v>
      </c>
      <c r="D140" s="131">
        <v>0</v>
      </c>
      <c r="E140" s="131">
        <v>0</v>
      </c>
      <c r="F140" s="131">
        <v>0</v>
      </c>
      <c r="G140" s="131">
        <v>0.04</v>
      </c>
      <c r="H140" s="131">
        <v>0.06</v>
      </c>
      <c r="I140" s="131">
        <v>0.08</v>
      </c>
      <c r="J140" s="131">
        <v>0.09</v>
      </c>
      <c r="K140" s="131">
        <v>0.11</v>
      </c>
      <c r="L140" s="131">
        <v>0.13</v>
      </c>
      <c r="M140" s="131">
        <v>0.15</v>
      </c>
      <c r="N140" s="134">
        <v>0.2</v>
      </c>
      <c r="O140" s="583"/>
    </row>
    <row r="141" spans="1:15" ht="19" x14ac:dyDescent="0.2">
      <c r="B141" s="576" t="s">
        <v>172</v>
      </c>
      <c r="C141" s="90" t="s">
        <v>173</v>
      </c>
      <c r="D141" s="128">
        <f t="shared" ref="D141:N141" si="43">(((D137*D138*D139*($D$39)/1000)*D140)+(((D137*D138*D139*$D$38)/1000)*(1-D140)))</f>
        <v>1200537.6768000002</v>
      </c>
      <c r="E141" s="128">
        <f t="shared" si="43"/>
        <v>1212543.0535680002</v>
      </c>
      <c r="F141" s="128">
        <f t="shared" si="43"/>
        <v>1224668.4841036804</v>
      </c>
      <c r="G141" s="128">
        <f t="shared" si="43"/>
        <v>1212176.8655658225</v>
      </c>
      <c r="H141" s="128">
        <f t="shared" si="43"/>
        <v>1211805.7910151393</v>
      </c>
      <c r="I141" s="128">
        <f t="shared" si="43"/>
        <v>1211306.0772868858</v>
      </c>
      <c r="J141" s="128">
        <f t="shared" si="43"/>
        <v>1217047.1633823602</v>
      </c>
      <c r="K141" s="128">
        <f t="shared" si="43"/>
        <v>1216346.246167847</v>
      </c>
      <c r="L141" s="128">
        <f t="shared" si="43"/>
        <v>1215509.6058927048</v>
      </c>
      <c r="M141" s="128">
        <f t="shared" si="43"/>
        <v>1214534.5981874431</v>
      </c>
      <c r="N141" s="128">
        <f t="shared" si="43"/>
        <v>1193526.4321647414</v>
      </c>
      <c r="O141" s="577"/>
    </row>
    <row r="142" spans="1:15" ht="19" x14ac:dyDescent="0.2">
      <c r="B142" s="584" t="s">
        <v>729</v>
      </c>
      <c r="C142" s="126" t="s">
        <v>164</v>
      </c>
      <c r="D142" s="132">
        <f>D141/1000000*28</f>
        <v>33.615054950400008</v>
      </c>
      <c r="E142" s="132">
        <f t="shared" ref="E142:N142" si="44">E141/1000000*28</f>
        <v>33.951205499904006</v>
      </c>
      <c r="F142" s="132">
        <f t="shared" si="44"/>
        <v>34.290717554903047</v>
      </c>
      <c r="G142" s="132">
        <f t="shared" si="44"/>
        <v>33.940952235843028</v>
      </c>
      <c r="H142" s="132">
        <f t="shared" si="44"/>
        <v>33.930562148423903</v>
      </c>
      <c r="I142" s="132">
        <f t="shared" si="44"/>
        <v>33.916570164032805</v>
      </c>
      <c r="J142" s="132">
        <f t="shared" si="44"/>
        <v>34.077320574706086</v>
      </c>
      <c r="K142" s="132">
        <f t="shared" si="44"/>
        <v>34.057694892699715</v>
      </c>
      <c r="L142" s="132">
        <f t="shared" si="44"/>
        <v>34.034268964995732</v>
      </c>
      <c r="M142" s="132">
        <f t="shared" si="44"/>
        <v>34.006968749248408</v>
      </c>
      <c r="N142" s="132">
        <f t="shared" si="44"/>
        <v>33.418740100612759</v>
      </c>
      <c r="O142" s="585"/>
    </row>
    <row r="143" spans="1:15" ht="37" thickBot="1" x14ac:dyDescent="0.25">
      <c r="B143" s="586" t="s">
        <v>751</v>
      </c>
      <c r="C143" s="587" t="s">
        <v>164</v>
      </c>
      <c r="D143" s="580">
        <f t="shared" ref="D143:N143" si="45">D134+D142</f>
        <v>252.79131736320008</v>
      </c>
      <c r="E143" s="580">
        <f t="shared" si="45"/>
        <v>255.31923053683204</v>
      </c>
      <c r="F143" s="580">
        <f t="shared" si="45"/>
        <v>257.87242284220042</v>
      </c>
      <c r="G143" s="580">
        <f t="shared" si="45"/>
        <v>255.24212412920991</v>
      </c>
      <c r="H143" s="580">
        <f t="shared" si="45"/>
        <v>255.16398878508875</v>
      </c>
      <c r="I143" s="580">
        <f t="shared" si="45"/>
        <v>255.05876652167228</v>
      </c>
      <c r="J143" s="580">
        <f t="shared" si="45"/>
        <v>256.26763880049896</v>
      </c>
      <c r="K143" s="580">
        <f t="shared" si="45"/>
        <v>256.12005010799606</v>
      </c>
      <c r="L143" s="580">
        <f t="shared" si="45"/>
        <v>255.94388287776303</v>
      </c>
      <c r="M143" s="580">
        <f t="shared" si="45"/>
        <v>255.73858029791455</v>
      </c>
      <c r="N143" s="588">
        <f t="shared" si="45"/>
        <v>251.31499404411278</v>
      </c>
      <c r="O143" s="589"/>
    </row>
    <row r="144" spans="1:15" customFormat="1" ht="17" thickBot="1" x14ac:dyDescent="0.25"/>
    <row r="145" spans="1:16" s="272" customFormat="1" ht="19" thickBot="1" x14ac:dyDescent="0.25">
      <c r="A145" s="338"/>
      <c r="B145" s="350" t="s">
        <v>629</v>
      </c>
      <c r="C145" s="351" t="s">
        <v>164</v>
      </c>
      <c r="D145" s="352">
        <f t="shared" ref="D145:N145" si="46">SUM(D126,D143)</f>
        <v>3543.2393173631999</v>
      </c>
      <c r="E145" s="352">
        <f t="shared" si="46"/>
        <v>3578.6717105368321</v>
      </c>
      <c r="F145" s="352">
        <f t="shared" si="46"/>
        <v>3614.4584276422001</v>
      </c>
      <c r="G145" s="352">
        <f t="shared" si="46"/>
        <v>3631.019745070254</v>
      </c>
      <c r="H145" s="352">
        <f t="shared" si="46"/>
        <v>3657.4403927625312</v>
      </c>
      <c r="I145" s="352">
        <f t="shared" si="46"/>
        <v>3684.0263514341468</v>
      </c>
      <c r="J145" s="352">
        <f t="shared" si="46"/>
        <v>3715.8224500942033</v>
      </c>
      <c r="K145" s="352">
        <f t="shared" si="46"/>
        <v>3742.7914615894897</v>
      </c>
      <c r="L145" s="352">
        <f t="shared" si="46"/>
        <v>3769.9282710696721</v>
      </c>
      <c r="M145" s="352">
        <f t="shared" si="46"/>
        <v>3797.2335375932994</v>
      </c>
      <c r="N145" s="353">
        <f t="shared" si="46"/>
        <v>3808.9609820968813</v>
      </c>
      <c r="O145" s="8"/>
    </row>
    <row r="146" spans="1:16" x14ac:dyDescent="0.2">
      <c r="B146" s="27"/>
    </row>
    <row r="147" spans="1:16" s="317" customFormat="1" ht="21" customHeight="1" x14ac:dyDescent="0.2">
      <c r="A147" s="336">
        <v>5</v>
      </c>
      <c r="B147" s="346" t="s">
        <v>863</v>
      </c>
      <c r="C147" s="346"/>
      <c r="D147" s="346"/>
      <c r="E147" s="318"/>
      <c r="F147" s="318"/>
      <c r="G147" s="319"/>
      <c r="H147" s="320"/>
      <c r="I147" s="321"/>
      <c r="J147" s="322"/>
      <c r="K147" s="322"/>
      <c r="L147" s="321"/>
      <c r="M147" s="322"/>
      <c r="N147" s="323"/>
      <c r="O147" s="323"/>
    </row>
    <row r="148" spans="1:16" customFormat="1" ht="29.25" customHeight="1" x14ac:dyDescent="0.2">
      <c r="A148" s="1"/>
      <c r="B148" s="417" t="s">
        <v>837</v>
      </c>
      <c r="C148" s="417"/>
      <c r="D148" s="417"/>
      <c r="E148" s="417"/>
      <c r="F148" s="417"/>
      <c r="O148" s="18"/>
      <c r="P148" s="24"/>
    </row>
    <row r="149" spans="1:16" s="42" customFormat="1" ht="18" customHeight="1" x14ac:dyDescent="0.2">
      <c r="A149" s="17"/>
      <c r="B149" s="409" t="s">
        <v>740</v>
      </c>
      <c r="C149" s="374"/>
      <c r="D149" s="374"/>
      <c r="E149" s="374"/>
      <c r="F149" s="374"/>
      <c r="G149" s="374"/>
      <c r="O149" s="17"/>
    </row>
    <row r="150" spans="1:16" customFormat="1" x14ac:dyDescent="0.2">
      <c r="A150" s="1"/>
      <c r="B150" s="409" t="s">
        <v>741</v>
      </c>
    </row>
    <row r="151" spans="1:16" s="2" customFormat="1" ht="17" thickBot="1" x14ac:dyDescent="0.25">
      <c r="A151" s="418"/>
      <c r="B151" s="417"/>
      <c r="O151" s="418"/>
    </row>
    <row r="152" spans="1:16" customFormat="1" ht="21" x14ac:dyDescent="0.25">
      <c r="B152" s="360" t="s">
        <v>634</v>
      </c>
      <c r="C152" s="361" t="s">
        <v>120</v>
      </c>
      <c r="D152" s="361" t="s">
        <v>121</v>
      </c>
      <c r="E152" s="361" t="s">
        <v>118</v>
      </c>
      <c r="F152" s="362" t="s">
        <v>119</v>
      </c>
    </row>
    <row r="153" spans="1:16" customFormat="1" ht="19" x14ac:dyDescent="0.2">
      <c r="B153" s="363" t="s">
        <v>632</v>
      </c>
      <c r="C153" s="410">
        <v>252.79131736320008</v>
      </c>
      <c r="D153" s="410">
        <v>339.73039196038269</v>
      </c>
      <c r="E153" s="399" t="s">
        <v>24</v>
      </c>
      <c r="F153" s="400" t="s">
        <v>24</v>
      </c>
    </row>
    <row r="154" spans="1:16" customFormat="1" ht="19" x14ac:dyDescent="0.2">
      <c r="B154" s="363" t="s">
        <v>633</v>
      </c>
      <c r="C154" s="410">
        <v>3290.4479999999999</v>
      </c>
      <c r="D154" s="410">
        <v>4422.086962580107</v>
      </c>
      <c r="E154" s="399" t="s">
        <v>24</v>
      </c>
      <c r="F154" s="400" t="s">
        <v>24</v>
      </c>
    </row>
    <row r="155" spans="1:16" customFormat="1" ht="20" thickBot="1" x14ac:dyDescent="0.25">
      <c r="B155" s="515" t="s">
        <v>625</v>
      </c>
      <c r="C155" s="516">
        <v>3543.2393173631999</v>
      </c>
      <c r="D155" s="516">
        <v>4761.8173545404898</v>
      </c>
      <c r="E155" s="517" t="s">
        <v>24</v>
      </c>
      <c r="F155" s="518" t="s">
        <v>24</v>
      </c>
    </row>
    <row r="156" spans="1:16" customFormat="1" x14ac:dyDescent="0.2"/>
    <row r="157" spans="1:16" customFormat="1" x14ac:dyDescent="0.2">
      <c r="B157" s="42"/>
      <c r="C157" s="8"/>
      <c r="D157" s="8"/>
      <c r="E157" s="8"/>
      <c r="F157" s="24"/>
    </row>
    <row r="158" spans="1:16" customFormat="1" x14ac:dyDescent="0.2"/>
    <row r="159" spans="1:16" customFormat="1" x14ac:dyDescent="0.2"/>
    <row r="160" spans="1:16"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spans="2:8" customFormat="1" x14ac:dyDescent="0.2"/>
    <row r="178" spans="2:8" customFormat="1" x14ac:dyDescent="0.2"/>
    <row r="179" spans="2:8" customFormat="1" x14ac:dyDescent="0.2"/>
    <row r="180" spans="2:8" ht="17" thickBot="1" x14ac:dyDescent="0.25">
      <c r="G180"/>
      <c r="H180"/>
    </row>
    <row r="181" spans="2:8" ht="21" x14ac:dyDescent="0.25">
      <c r="B181" s="360" t="s">
        <v>635</v>
      </c>
      <c r="C181" s="361" t="s">
        <v>120</v>
      </c>
      <c r="D181" s="361" t="s">
        <v>121</v>
      </c>
      <c r="E181" s="361" t="s">
        <v>118</v>
      </c>
      <c r="F181" s="362" t="s">
        <v>119</v>
      </c>
      <c r="G181"/>
      <c r="H181"/>
    </row>
    <row r="182" spans="2:8" ht="19" x14ac:dyDescent="0.2">
      <c r="B182" s="363" t="s">
        <v>632</v>
      </c>
      <c r="C182" s="410">
        <v>252.79131736320008</v>
      </c>
      <c r="D182" s="410">
        <v>189.59348802240009</v>
      </c>
      <c r="E182" s="398">
        <f>(D182-C182)/C182</f>
        <v>-0.24999999999999986</v>
      </c>
      <c r="F182" s="412">
        <f>$D$153-D182</f>
        <v>150.13690393798259</v>
      </c>
      <c r="G182"/>
      <c r="H182"/>
    </row>
    <row r="183" spans="2:8" ht="19" x14ac:dyDescent="0.2">
      <c r="B183" s="363" t="s">
        <v>633</v>
      </c>
      <c r="C183" s="410">
        <v>3290.4479999999999</v>
      </c>
      <c r="D183" s="410">
        <v>3116.0542559999999</v>
      </c>
      <c r="E183" s="398">
        <f t="shared" ref="E183:E184" si="47">(D183-C183)/C183</f>
        <v>-5.2999999999999992E-2</v>
      </c>
      <c r="F183" s="412">
        <f>$D$154-D183</f>
        <v>1306.0327065801071</v>
      </c>
      <c r="G183"/>
      <c r="H183"/>
    </row>
    <row r="184" spans="2:8" ht="20" thickBot="1" x14ac:dyDescent="0.25">
      <c r="B184" s="514" t="s">
        <v>625</v>
      </c>
      <c r="C184" s="516">
        <v>3543.2393173631999</v>
      </c>
      <c r="D184" s="516">
        <v>3305.6477440223998</v>
      </c>
      <c r="E184" s="519">
        <f t="shared" si="47"/>
        <v>-6.7054904300850468E-2</v>
      </c>
      <c r="F184" s="520">
        <f>$D$155-D184</f>
        <v>1456.1696105180899</v>
      </c>
      <c r="G184"/>
      <c r="H184"/>
    </row>
    <row r="185" spans="2:8" x14ac:dyDescent="0.2">
      <c r="G185"/>
      <c r="H185"/>
    </row>
    <row r="211" spans="2:8" ht="17" thickBot="1" x14ac:dyDescent="0.25"/>
    <row r="212" spans="2:8" ht="21" x14ac:dyDescent="0.25">
      <c r="B212" s="360" t="s">
        <v>636</v>
      </c>
      <c r="C212" s="361" t="s">
        <v>120</v>
      </c>
      <c r="D212" s="361" t="s">
        <v>121</v>
      </c>
      <c r="E212" s="361" t="s">
        <v>118</v>
      </c>
      <c r="F212" s="362" t="s">
        <v>119</v>
      </c>
    </row>
    <row r="213" spans="2:8" ht="19" x14ac:dyDescent="0.2">
      <c r="B213" s="363" t="s">
        <v>632</v>
      </c>
      <c r="C213" s="411">
        <v>252.79131736320008</v>
      </c>
      <c r="D213" s="411">
        <v>251.31499404411278</v>
      </c>
      <c r="E213" s="401">
        <f>(D213-C213)/C213</f>
        <v>-5.8400871299158566E-3</v>
      </c>
      <c r="F213" s="412">
        <f>$D$153-D213</f>
        <v>88.41539791626991</v>
      </c>
    </row>
    <row r="214" spans="2:8" ht="19" x14ac:dyDescent="0.2">
      <c r="B214" s="363" t="s">
        <v>633</v>
      </c>
      <c r="C214" s="411">
        <v>3290.4479999999999</v>
      </c>
      <c r="D214" s="411">
        <v>3557.6459880527686</v>
      </c>
      <c r="E214" s="398">
        <f t="shared" ref="E214:E215" si="48">(D214-C214)/C214</f>
        <v>8.1204136352487202E-2</v>
      </c>
      <c r="F214" s="412">
        <f>$D$154-D214</f>
        <v>864.44097452733831</v>
      </c>
    </row>
    <row r="215" spans="2:8" ht="20" thickBot="1" x14ac:dyDescent="0.25">
      <c r="B215" s="514" t="s">
        <v>625</v>
      </c>
      <c r="C215" s="521">
        <v>3543.2393173631999</v>
      </c>
      <c r="D215" s="521">
        <v>3808.9609820968813</v>
      </c>
      <c r="E215" s="519">
        <f t="shared" si="48"/>
        <v>7.4993993047984556E-2</v>
      </c>
      <c r="F215" s="520">
        <f>$D$155-D215</f>
        <v>952.85637244360851</v>
      </c>
    </row>
    <row r="222" spans="2:8" ht="19" x14ac:dyDescent="0.2">
      <c r="H222" s="413"/>
    </row>
  </sheetData>
  <mergeCells count="12">
    <mergeCell ref="B2:G2"/>
    <mergeCell ref="B8:G8"/>
    <mergeCell ref="B12:D12"/>
    <mergeCell ref="B17:D17"/>
    <mergeCell ref="B22:D22"/>
    <mergeCell ref="A42:A43"/>
    <mergeCell ref="E12:E13"/>
    <mergeCell ref="F12:F13"/>
    <mergeCell ref="F17:F18"/>
    <mergeCell ref="E22:E23"/>
    <mergeCell ref="F22:F23"/>
    <mergeCell ref="E17:E1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5214B-1055-4FBF-B736-DF8EA1012DA2}">
  <sheetPr>
    <tabColor rgb="FFFBEBD9"/>
  </sheetPr>
  <dimension ref="A1:I53"/>
  <sheetViews>
    <sheetView showGridLines="0" workbookViewId="0"/>
  </sheetViews>
  <sheetFormatPr baseColWidth="10" defaultColWidth="11" defaultRowHeight="16" x14ac:dyDescent="0.2"/>
  <cols>
    <col min="1" max="1" width="7.6640625" style="16" customWidth="1"/>
    <col min="2" max="2" width="36" style="230" customWidth="1"/>
    <col min="3" max="3" width="34.33203125" style="9" customWidth="1"/>
    <col min="4" max="4" width="38.5" style="230" customWidth="1"/>
    <col min="5" max="5" width="30.83203125" style="24" customWidth="1"/>
    <col min="6" max="6" width="29.33203125" style="8" customWidth="1"/>
    <col min="7" max="8" width="11" style="9"/>
    <col min="9" max="9" width="11" style="9" customWidth="1"/>
    <col min="10" max="16384" width="11" style="9"/>
  </cols>
  <sheetData>
    <row r="1" spans="1:9" s="16" customFormat="1" ht="35" customHeight="1" x14ac:dyDescent="0.2">
      <c r="A1" s="359"/>
      <c r="B1" s="403" t="s">
        <v>637</v>
      </c>
      <c r="C1" s="359"/>
      <c r="D1" s="359"/>
      <c r="E1" s="359"/>
      <c r="F1" s="359"/>
    </row>
    <row r="2" spans="1:9" ht="74.25" customHeight="1" x14ac:dyDescent="0.2">
      <c r="A2" s="9"/>
      <c r="B2" s="884" t="s">
        <v>793</v>
      </c>
      <c r="C2" s="884"/>
      <c r="D2" s="884"/>
      <c r="E2" s="884"/>
      <c r="F2" s="884"/>
      <c r="I2" s="77"/>
    </row>
    <row r="3" spans="1:9" customFormat="1" ht="17" x14ac:dyDescent="0.2">
      <c r="A3" s="1"/>
      <c r="B3" s="374" t="s">
        <v>826</v>
      </c>
      <c r="C3" s="590" t="s">
        <v>827</v>
      </c>
      <c r="D3" s="374" t="s">
        <v>828</v>
      </c>
      <c r="E3" s="374"/>
      <c r="F3" s="374"/>
      <c r="G3" s="374"/>
    </row>
    <row r="4" spans="1:9" customFormat="1" x14ac:dyDescent="0.2">
      <c r="A4" s="1"/>
      <c r="B4" s="374"/>
      <c r="C4" s="535"/>
      <c r="D4" s="374"/>
      <c r="E4" s="374"/>
      <c r="F4" s="374"/>
      <c r="G4" s="374"/>
    </row>
    <row r="5" spans="1:9" s="16" customFormat="1" ht="23.25" customHeight="1" x14ac:dyDescent="0.2">
      <c r="A5" s="377">
        <v>1</v>
      </c>
      <c r="B5" s="917" t="s">
        <v>816</v>
      </c>
      <c r="C5" s="917"/>
      <c r="D5" s="917"/>
      <c r="E5" s="917"/>
      <c r="F5" s="917"/>
    </row>
    <row r="6" spans="1:9" s="194" customFormat="1" ht="34" x14ac:dyDescent="0.15">
      <c r="B6" s="229" t="s">
        <v>185</v>
      </c>
      <c r="C6" s="229" t="s">
        <v>186</v>
      </c>
      <c r="D6" s="192" t="s">
        <v>187</v>
      </c>
      <c r="E6" s="192" t="s">
        <v>188</v>
      </c>
      <c r="F6" s="192" t="s">
        <v>189</v>
      </c>
    </row>
    <row r="7" spans="1:9" s="194" customFormat="1" ht="180" customHeight="1" x14ac:dyDescent="0.15">
      <c r="B7" s="201" t="s">
        <v>190</v>
      </c>
      <c r="C7" s="201" t="s">
        <v>191</v>
      </c>
      <c r="D7" s="202" t="s">
        <v>643</v>
      </c>
      <c r="E7" s="277" t="s">
        <v>192</v>
      </c>
      <c r="F7" s="911" t="s">
        <v>638</v>
      </c>
    </row>
    <row r="8" spans="1:9" s="194" customFormat="1" ht="75.75" customHeight="1" x14ac:dyDescent="0.15">
      <c r="B8" s="201" t="s">
        <v>193</v>
      </c>
      <c r="C8" s="201" t="s">
        <v>789</v>
      </c>
      <c r="D8" s="202"/>
      <c r="E8" s="277" t="s">
        <v>194</v>
      </c>
      <c r="F8" s="911"/>
    </row>
    <row r="9" spans="1:9" s="194" customFormat="1" ht="119.25" customHeight="1" x14ac:dyDescent="0.15">
      <c r="B9" s="200" t="s">
        <v>195</v>
      </c>
      <c r="C9" s="200" t="s">
        <v>196</v>
      </c>
      <c r="D9" s="197" t="s">
        <v>754</v>
      </c>
      <c r="E9" s="277" t="s">
        <v>197</v>
      </c>
      <c r="F9" s="911"/>
    </row>
    <row r="10" spans="1:9" s="194" customFormat="1" ht="48" customHeight="1" x14ac:dyDescent="0.15">
      <c r="B10" s="200" t="s">
        <v>198</v>
      </c>
      <c r="C10" s="200" t="s">
        <v>780</v>
      </c>
      <c r="D10" s="198" t="s">
        <v>644</v>
      </c>
      <c r="E10" s="277" t="s">
        <v>199</v>
      </c>
      <c r="F10" s="911"/>
    </row>
    <row r="11" spans="1:9" s="194" customFormat="1" ht="56" x14ac:dyDescent="0.15">
      <c r="B11" s="201" t="s">
        <v>200</v>
      </c>
      <c r="C11" s="201" t="s">
        <v>201</v>
      </c>
      <c r="D11" s="195" t="s">
        <v>645</v>
      </c>
      <c r="E11" s="196" t="s">
        <v>202</v>
      </c>
      <c r="F11" s="911"/>
    </row>
    <row r="12" spans="1:9" s="194" customFormat="1" ht="41.25" customHeight="1" x14ac:dyDescent="0.15">
      <c r="B12" s="201" t="s">
        <v>647</v>
      </c>
      <c r="C12" s="201" t="s">
        <v>203</v>
      </c>
      <c r="D12" s="199" t="s">
        <v>646</v>
      </c>
      <c r="E12" s="196" t="s">
        <v>205</v>
      </c>
      <c r="F12" s="277" t="s">
        <v>639</v>
      </c>
    </row>
    <row r="13" spans="1:9" customFormat="1" x14ac:dyDescent="0.2">
      <c r="B13" s="239"/>
    </row>
    <row r="14" spans="1:9" customFormat="1" x14ac:dyDescent="0.2">
      <c r="B14" s="239"/>
    </row>
    <row r="15" spans="1:9" s="16" customFormat="1" ht="18" customHeight="1" x14ac:dyDescent="0.2">
      <c r="A15" s="377">
        <v>2</v>
      </c>
      <c r="B15" s="914" t="s">
        <v>207</v>
      </c>
      <c r="C15" s="914"/>
      <c r="D15" s="914"/>
      <c r="E15" s="914"/>
      <c r="F15" s="914"/>
    </row>
    <row r="16" spans="1:9" s="16" customFormat="1" ht="20" x14ac:dyDescent="0.2">
      <c r="A16" s="915" t="s">
        <v>208</v>
      </c>
      <c r="B16" s="916"/>
      <c r="C16" s="916"/>
      <c r="D16" s="916"/>
      <c r="E16" s="916"/>
      <c r="F16" s="916"/>
    </row>
    <row r="17" spans="1:6" s="16" customFormat="1" ht="34" x14ac:dyDescent="0.2">
      <c r="B17" s="229" t="s">
        <v>185</v>
      </c>
      <c r="C17" s="229" t="s">
        <v>186</v>
      </c>
      <c r="D17" s="192" t="s">
        <v>187</v>
      </c>
      <c r="E17" s="192" t="s">
        <v>188</v>
      </c>
      <c r="F17" s="192" t="s">
        <v>189</v>
      </c>
    </row>
    <row r="18" spans="1:6" s="16" customFormat="1" ht="84" x14ac:dyDescent="0.2">
      <c r="B18" s="200" t="s">
        <v>209</v>
      </c>
      <c r="C18" s="200" t="s">
        <v>210</v>
      </c>
      <c r="D18" s="197" t="s">
        <v>650</v>
      </c>
      <c r="E18" s="277" t="s">
        <v>199</v>
      </c>
      <c r="F18" s="911" t="s">
        <v>573</v>
      </c>
    </row>
    <row r="19" spans="1:6" s="16" customFormat="1" ht="57" customHeight="1" x14ac:dyDescent="0.2">
      <c r="B19" s="200" t="s">
        <v>648</v>
      </c>
      <c r="C19" s="200" t="s">
        <v>781</v>
      </c>
      <c r="D19" s="197" t="s">
        <v>649</v>
      </c>
      <c r="E19" s="277" t="s">
        <v>197</v>
      </c>
      <c r="F19" s="911"/>
    </row>
    <row r="20" spans="1:6" s="16" customFormat="1" x14ac:dyDescent="0.2">
      <c r="B20" s="239"/>
      <c r="C20" s="235"/>
      <c r="D20" s="236"/>
      <c r="E20" s="235"/>
      <c r="F20" s="237"/>
    </row>
    <row r="21" spans="1:6" s="16" customFormat="1" ht="20" x14ac:dyDescent="0.2">
      <c r="A21" s="915" t="s">
        <v>211</v>
      </c>
      <c r="B21" s="916"/>
      <c r="C21" s="916"/>
      <c r="D21" s="916"/>
      <c r="E21" s="916"/>
      <c r="F21" s="916"/>
    </row>
    <row r="22" spans="1:6" s="16" customFormat="1" ht="34" x14ac:dyDescent="0.2">
      <c r="B22" s="229" t="s">
        <v>185</v>
      </c>
      <c r="C22" s="229" t="s">
        <v>186</v>
      </c>
      <c r="D22" s="192" t="s">
        <v>187</v>
      </c>
      <c r="E22" s="192" t="s">
        <v>188</v>
      </c>
      <c r="F22" s="192" t="s">
        <v>189</v>
      </c>
    </row>
    <row r="23" spans="1:6" s="16" customFormat="1" ht="72" customHeight="1" x14ac:dyDescent="0.2">
      <c r="B23" s="200" t="s">
        <v>212</v>
      </c>
      <c r="C23" s="200" t="s">
        <v>213</v>
      </c>
      <c r="D23" s="197" t="s">
        <v>651</v>
      </c>
      <c r="E23" s="908" t="s">
        <v>197</v>
      </c>
      <c r="F23" s="911" t="s">
        <v>640</v>
      </c>
    </row>
    <row r="24" spans="1:6" s="16" customFormat="1" ht="56" x14ac:dyDescent="0.2">
      <c r="B24" s="200" t="s">
        <v>214</v>
      </c>
      <c r="C24" s="200" t="s">
        <v>215</v>
      </c>
      <c r="D24" s="238" t="s">
        <v>216</v>
      </c>
      <c r="E24" s="909"/>
      <c r="F24" s="911"/>
    </row>
    <row r="25" spans="1:6" s="16" customFormat="1" ht="46" x14ac:dyDescent="0.2">
      <c r="B25" s="200" t="s">
        <v>662</v>
      </c>
      <c r="C25" s="200" t="s">
        <v>217</v>
      </c>
      <c r="D25" s="200" t="s">
        <v>652</v>
      </c>
      <c r="E25" s="909"/>
      <c r="F25" s="911"/>
    </row>
    <row r="26" spans="1:6" s="16" customFormat="1" ht="42" x14ac:dyDescent="0.2">
      <c r="B26" s="200" t="s">
        <v>218</v>
      </c>
      <c r="C26" s="200" t="s">
        <v>219</v>
      </c>
      <c r="D26" s="200"/>
      <c r="E26" s="909"/>
      <c r="F26" s="911"/>
    </row>
    <row r="27" spans="1:6" s="16" customFormat="1" ht="60" x14ac:dyDescent="0.2">
      <c r="B27" s="200" t="s">
        <v>660</v>
      </c>
      <c r="C27" s="200" t="s">
        <v>220</v>
      </c>
      <c r="D27" s="200"/>
      <c r="E27" s="910"/>
      <c r="F27" s="911"/>
    </row>
    <row r="28" spans="1:6" s="16" customFormat="1" ht="60" x14ac:dyDescent="0.2">
      <c r="B28" s="240" t="s">
        <v>661</v>
      </c>
      <c r="C28" s="240" t="s">
        <v>782</v>
      </c>
      <c r="D28" s="198" t="s">
        <v>221</v>
      </c>
      <c r="E28" s="908" t="s">
        <v>197</v>
      </c>
      <c r="F28" s="911" t="s">
        <v>641</v>
      </c>
    </row>
    <row r="29" spans="1:6" s="16" customFormat="1" ht="30" customHeight="1" x14ac:dyDescent="0.2">
      <c r="B29" s="240" t="s">
        <v>222</v>
      </c>
      <c r="C29" s="240" t="s">
        <v>223</v>
      </c>
      <c r="D29" s="241" t="s">
        <v>653</v>
      </c>
      <c r="E29" s="909"/>
      <c r="F29" s="911"/>
    </row>
    <row r="30" spans="1:6" s="16" customFormat="1" ht="60" x14ac:dyDescent="0.2">
      <c r="A30" s="42"/>
      <c r="B30" s="202" t="s">
        <v>659</v>
      </c>
      <c r="C30" s="240" t="s">
        <v>224</v>
      </c>
      <c r="D30" s="240" t="s">
        <v>654</v>
      </c>
      <c r="E30" s="909"/>
      <c r="F30" s="911"/>
    </row>
    <row r="31" spans="1:6" s="16" customFormat="1" ht="47.25" customHeight="1" x14ac:dyDescent="0.2">
      <c r="B31" s="240" t="s">
        <v>225</v>
      </c>
      <c r="C31" s="240" t="s">
        <v>782</v>
      </c>
      <c r="D31" s="241" t="s">
        <v>655</v>
      </c>
      <c r="E31" s="909"/>
      <c r="F31" s="911" t="s">
        <v>642</v>
      </c>
    </row>
    <row r="32" spans="1:6" s="16" customFormat="1" ht="33" customHeight="1" x14ac:dyDescent="0.2">
      <c r="B32" s="240" t="s">
        <v>226</v>
      </c>
      <c r="C32" s="240" t="s">
        <v>227</v>
      </c>
      <c r="D32" s="241" t="s">
        <v>656</v>
      </c>
      <c r="E32" s="909"/>
      <c r="F32" s="911"/>
    </row>
    <row r="33" spans="1:6" s="16" customFormat="1" ht="48.75" customHeight="1" x14ac:dyDescent="0.2">
      <c r="A33" s="193"/>
      <c r="B33" s="201" t="s">
        <v>658</v>
      </c>
      <c r="C33" s="200" t="s">
        <v>228</v>
      </c>
      <c r="D33" s="200" t="s">
        <v>657</v>
      </c>
      <c r="E33" s="910"/>
      <c r="F33" s="911"/>
    </row>
    <row r="36" spans="1:6" s="16" customFormat="1" ht="18" customHeight="1" x14ac:dyDescent="0.2">
      <c r="A36" s="377">
        <v>3</v>
      </c>
      <c r="B36" s="914" t="s">
        <v>229</v>
      </c>
      <c r="C36" s="914"/>
      <c r="D36" s="914"/>
      <c r="E36" s="914"/>
      <c r="F36" s="914"/>
    </row>
    <row r="37" spans="1:6" s="16" customFormat="1" ht="20" x14ac:dyDescent="0.2">
      <c r="A37" s="913" t="s">
        <v>208</v>
      </c>
      <c r="B37" s="913"/>
      <c r="C37" s="913"/>
      <c r="D37" s="913"/>
      <c r="E37" s="913"/>
      <c r="F37" s="913"/>
    </row>
    <row r="38" spans="1:6" s="16" customFormat="1" ht="34" x14ac:dyDescent="0.2">
      <c r="B38" s="192" t="s">
        <v>185</v>
      </c>
      <c r="C38" s="229" t="s">
        <v>186</v>
      </c>
      <c r="D38" s="192" t="s">
        <v>187</v>
      </c>
      <c r="E38" s="192" t="s">
        <v>188</v>
      </c>
      <c r="F38" s="192" t="s">
        <v>189</v>
      </c>
    </row>
    <row r="39" spans="1:6" s="16" customFormat="1" ht="54.75" customHeight="1" x14ac:dyDescent="0.2">
      <c r="B39" s="197" t="s">
        <v>230</v>
      </c>
      <c r="C39" s="200" t="s">
        <v>231</v>
      </c>
      <c r="D39" s="200" t="s">
        <v>663</v>
      </c>
      <c r="E39" s="277" t="s">
        <v>232</v>
      </c>
      <c r="F39" s="911" t="s">
        <v>573</v>
      </c>
    </row>
    <row r="40" spans="1:6" s="16" customFormat="1" ht="70" x14ac:dyDescent="0.2">
      <c r="B40" s="197" t="s">
        <v>233</v>
      </c>
      <c r="C40" s="200" t="s">
        <v>234</v>
      </c>
      <c r="D40" s="200" t="s">
        <v>235</v>
      </c>
      <c r="E40" s="908" t="s">
        <v>197</v>
      </c>
      <c r="F40" s="911"/>
    </row>
    <row r="41" spans="1:6" s="16" customFormat="1" ht="126" x14ac:dyDescent="0.2">
      <c r="B41" s="197" t="s">
        <v>236</v>
      </c>
      <c r="C41" s="200" t="s">
        <v>237</v>
      </c>
      <c r="D41" s="200" t="s">
        <v>235</v>
      </c>
      <c r="E41" s="909"/>
      <c r="F41" s="911"/>
    </row>
    <row r="42" spans="1:6" s="16" customFormat="1" ht="126" x14ac:dyDescent="0.2">
      <c r="B42" s="197" t="s">
        <v>784</v>
      </c>
      <c r="C42" s="200" t="s">
        <v>783</v>
      </c>
      <c r="D42" s="200" t="s">
        <v>664</v>
      </c>
      <c r="E42" s="909"/>
      <c r="F42" s="911"/>
    </row>
    <row r="43" spans="1:6" s="16" customFormat="1" ht="112" x14ac:dyDescent="0.2">
      <c r="B43" s="197" t="s">
        <v>667</v>
      </c>
      <c r="C43" s="200" t="s">
        <v>238</v>
      </c>
      <c r="D43" s="200" t="s">
        <v>664</v>
      </c>
      <c r="E43" s="909"/>
      <c r="F43" s="911"/>
    </row>
    <row r="44" spans="1:6" s="16" customFormat="1" ht="58" x14ac:dyDescent="0.2">
      <c r="B44" s="197" t="s">
        <v>666</v>
      </c>
      <c r="C44" s="200" t="s">
        <v>785</v>
      </c>
      <c r="D44" s="200" t="s">
        <v>665</v>
      </c>
      <c r="E44" s="910"/>
      <c r="F44" s="911"/>
    </row>
    <row r="45" spans="1:6" s="16" customFormat="1" x14ac:dyDescent="0.2">
      <c r="B45" s="243"/>
      <c r="C45" s="244"/>
      <c r="D45" s="244"/>
      <c r="E45" s="245"/>
      <c r="F45" s="245"/>
    </row>
    <row r="46" spans="1:6" s="16" customFormat="1" ht="20" x14ac:dyDescent="0.2">
      <c r="A46" s="912" t="s">
        <v>239</v>
      </c>
      <c r="B46" s="912"/>
      <c r="C46" s="912"/>
      <c r="D46" s="912"/>
      <c r="E46" s="912"/>
      <c r="F46" s="912"/>
    </row>
    <row r="47" spans="1:6" s="16" customFormat="1" ht="34" x14ac:dyDescent="0.2">
      <c r="B47" s="192" t="s">
        <v>185</v>
      </c>
      <c r="C47" s="229" t="s">
        <v>186</v>
      </c>
      <c r="D47" s="192" t="s">
        <v>187</v>
      </c>
      <c r="E47" s="192" t="s">
        <v>188</v>
      </c>
      <c r="F47" s="192" t="s">
        <v>189</v>
      </c>
    </row>
    <row r="48" spans="1:6" s="16" customFormat="1" ht="42" x14ac:dyDescent="0.2">
      <c r="B48" s="197" t="s">
        <v>240</v>
      </c>
      <c r="C48" s="200" t="s">
        <v>241</v>
      </c>
      <c r="D48" s="200" t="s">
        <v>669</v>
      </c>
      <c r="E48" s="908" t="s">
        <v>197</v>
      </c>
      <c r="F48" s="911" t="s">
        <v>590</v>
      </c>
    </row>
    <row r="49" spans="2:6" s="16" customFormat="1" ht="40.5" customHeight="1" x14ac:dyDescent="0.2">
      <c r="B49" s="197" t="s">
        <v>674</v>
      </c>
      <c r="C49" s="200" t="s">
        <v>241</v>
      </c>
      <c r="D49" s="200" t="s">
        <v>668</v>
      </c>
      <c r="E49" s="909"/>
      <c r="F49" s="911"/>
    </row>
    <row r="50" spans="2:6" s="16" customFormat="1" ht="56" x14ac:dyDescent="0.2">
      <c r="B50" s="197" t="s">
        <v>242</v>
      </c>
      <c r="C50" s="200" t="s">
        <v>243</v>
      </c>
      <c r="D50" s="242" t="s">
        <v>671</v>
      </c>
      <c r="E50" s="909"/>
      <c r="F50" s="911"/>
    </row>
    <row r="51" spans="2:6" s="16" customFormat="1" ht="50.25" customHeight="1" x14ac:dyDescent="0.2">
      <c r="B51" s="197" t="s">
        <v>244</v>
      </c>
      <c r="C51" s="200" t="s">
        <v>245</v>
      </c>
      <c r="D51" s="200" t="s">
        <v>668</v>
      </c>
      <c r="E51" s="909"/>
      <c r="F51" s="911"/>
    </row>
    <row r="52" spans="2:6" s="16" customFormat="1" ht="140" x14ac:dyDescent="0.2">
      <c r="B52" s="195" t="s">
        <v>673</v>
      </c>
      <c r="C52" s="201" t="s">
        <v>246</v>
      </c>
      <c r="D52" s="200" t="s">
        <v>669</v>
      </c>
      <c r="E52" s="909"/>
      <c r="F52" s="911"/>
    </row>
    <row r="53" spans="2:6" s="16" customFormat="1" ht="72" x14ac:dyDescent="0.2">
      <c r="B53" s="197" t="s">
        <v>672</v>
      </c>
      <c r="C53" s="200" t="s">
        <v>247</v>
      </c>
      <c r="D53" s="200" t="s">
        <v>670</v>
      </c>
      <c r="E53" s="910"/>
      <c r="F53" s="911"/>
    </row>
  </sheetData>
  <mergeCells count="19">
    <mergeCell ref="B15:F15"/>
    <mergeCell ref="B2:F2"/>
    <mergeCell ref="E23:E27"/>
    <mergeCell ref="F7:F11"/>
    <mergeCell ref="F18:F19"/>
    <mergeCell ref="F23:F27"/>
    <mergeCell ref="A21:F21"/>
    <mergeCell ref="A16:F16"/>
    <mergeCell ref="B5:F5"/>
    <mergeCell ref="E48:E53"/>
    <mergeCell ref="F48:F53"/>
    <mergeCell ref="A46:F46"/>
    <mergeCell ref="F28:F30"/>
    <mergeCell ref="F31:F33"/>
    <mergeCell ref="F39:F44"/>
    <mergeCell ref="A37:F37"/>
    <mergeCell ref="E40:E44"/>
    <mergeCell ref="E28:E33"/>
    <mergeCell ref="B36:F36"/>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976E7-83E2-4BB1-A879-654C68B37789}">
  <sheetPr>
    <tabColor rgb="FFFBEBD9"/>
  </sheetPr>
  <dimension ref="A1:I38"/>
  <sheetViews>
    <sheetView showGridLines="0" workbookViewId="0"/>
  </sheetViews>
  <sheetFormatPr baseColWidth="10" defaultColWidth="11" defaultRowHeight="13" x14ac:dyDescent="0.15"/>
  <cols>
    <col min="1" max="1" width="7.6640625" style="206" customWidth="1"/>
    <col min="2" max="2" width="39" style="194" customWidth="1"/>
    <col min="3" max="3" width="39.6640625" style="194" customWidth="1"/>
    <col min="4" max="4" width="39.1640625" style="210" customWidth="1"/>
    <col min="5" max="5" width="28.6640625" style="194" customWidth="1"/>
    <col min="6" max="6" width="13.5" style="212" customWidth="1"/>
    <col min="7" max="16384" width="11" style="206"/>
  </cols>
  <sheetData>
    <row r="1" spans="1:9" s="194" customFormat="1" ht="35" customHeight="1" x14ac:dyDescent="0.15">
      <c r="A1" s="359"/>
      <c r="B1" s="404" t="s">
        <v>675</v>
      </c>
      <c r="C1" s="359"/>
      <c r="D1" s="359"/>
      <c r="E1" s="359"/>
      <c r="F1" s="359"/>
    </row>
    <row r="2" spans="1:9" s="9" customFormat="1" ht="66.75" customHeight="1" x14ac:dyDescent="0.2">
      <c r="B2" s="884" t="s">
        <v>794</v>
      </c>
      <c r="C2" s="884"/>
      <c r="D2" s="884"/>
      <c r="E2" s="884"/>
      <c r="F2" s="884"/>
      <c r="I2" s="77"/>
    </row>
    <row r="3" spans="1:9" customFormat="1" ht="17" x14ac:dyDescent="0.2">
      <c r="A3" s="1"/>
      <c r="B3" s="374" t="s">
        <v>829</v>
      </c>
      <c r="C3" s="374" t="s">
        <v>827</v>
      </c>
      <c r="D3" s="374" t="s">
        <v>828</v>
      </c>
      <c r="E3" s="374"/>
      <c r="F3" s="374"/>
      <c r="G3" s="374"/>
    </row>
    <row r="4" spans="1:9" s="9" customFormat="1" ht="16" x14ac:dyDescent="0.2">
      <c r="B4" s="374"/>
      <c r="C4" s="374"/>
      <c r="D4" s="374"/>
      <c r="E4" s="374"/>
      <c r="F4" s="374"/>
      <c r="I4" s="77"/>
    </row>
    <row r="5" spans="1:9" s="194" customFormat="1" ht="18" customHeight="1" x14ac:dyDescent="0.15">
      <c r="A5" s="377">
        <v>1</v>
      </c>
      <c r="B5" s="318" t="s">
        <v>184</v>
      </c>
      <c r="C5" s="318"/>
      <c r="D5" s="318"/>
      <c r="E5" s="318"/>
      <c r="F5" s="318"/>
    </row>
    <row r="6" spans="1:9" s="205" customFormat="1" ht="34" x14ac:dyDescent="0.15">
      <c r="B6" s="251" t="s">
        <v>185</v>
      </c>
      <c r="C6" s="251" t="s">
        <v>186</v>
      </c>
      <c r="D6" s="251" t="s">
        <v>187</v>
      </c>
      <c r="E6" s="251" t="s">
        <v>188</v>
      </c>
      <c r="F6" s="251" t="s">
        <v>189</v>
      </c>
    </row>
    <row r="7" spans="1:9" s="194" customFormat="1" ht="56" x14ac:dyDescent="0.15">
      <c r="B7" s="208" t="s">
        <v>248</v>
      </c>
      <c r="C7" s="208" t="s">
        <v>249</v>
      </c>
      <c r="D7" s="209" t="s">
        <v>250</v>
      </c>
      <c r="E7" s="279" t="s">
        <v>251</v>
      </c>
      <c r="F7" s="921" t="s">
        <v>573</v>
      </c>
    </row>
    <row r="8" spans="1:9" ht="182" x14ac:dyDescent="0.15">
      <c r="B8" s="208" t="s">
        <v>786</v>
      </c>
      <c r="C8" s="208" t="s">
        <v>787</v>
      </c>
      <c r="D8" s="209" t="s">
        <v>252</v>
      </c>
      <c r="E8" s="279" t="s">
        <v>232</v>
      </c>
      <c r="F8" s="922"/>
    </row>
    <row r="9" spans="1:9" ht="42" x14ac:dyDescent="0.15">
      <c r="B9" s="208" t="s">
        <v>253</v>
      </c>
      <c r="C9" s="208" t="s">
        <v>254</v>
      </c>
      <c r="D9" s="209" t="s">
        <v>255</v>
      </c>
      <c r="E9" s="279" t="s">
        <v>202</v>
      </c>
      <c r="F9" s="922"/>
    </row>
    <row r="10" spans="1:9" ht="42" x14ac:dyDescent="0.15">
      <c r="B10" s="208" t="s">
        <v>678</v>
      </c>
      <c r="C10" s="208" t="s">
        <v>203</v>
      </c>
      <c r="D10" s="209" t="s">
        <v>677</v>
      </c>
      <c r="E10" s="279" t="s">
        <v>205</v>
      </c>
      <c r="F10" s="923"/>
    </row>
    <row r="11" spans="1:9" x14ac:dyDescent="0.15">
      <c r="B11" s="210"/>
      <c r="C11" s="210"/>
      <c r="E11" s="210"/>
      <c r="F11" s="211"/>
    </row>
    <row r="12" spans="1:9" s="194" customFormat="1" ht="18" customHeight="1" x14ac:dyDescent="0.15">
      <c r="A12" s="377">
        <v>2</v>
      </c>
      <c r="B12" s="318" t="s">
        <v>830</v>
      </c>
      <c r="C12" s="318"/>
      <c r="D12" s="318"/>
      <c r="E12" s="318"/>
      <c r="F12" s="318"/>
    </row>
    <row r="13" spans="1:9" s="205" customFormat="1" ht="34" x14ac:dyDescent="0.15">
      <c r="B13" s="251" t="s">
        <v>185</v>
      </c>
      <c r="C13" s="251" t="s">
        <v>186</v>
      </c>
      <c r="D13" s="251" t="s">
        <v>187</v>
      </c>
      <c r="E13" s="251" t="s">
        <v>188</v>
      </c>
      <c r="F13" s="251" t="s">
        <v>189</v>
      </c>
    </row>
    <row r="14" spans="1:9" ht="42" x14ac:dyDescent="0.15">
      <c r="B14" s="208" t="s">
        <v>256</v>
      </c>
      <c r="C14" s="208" t="s">
        <v>257</v>
      </c>
      <c r="D14" s="208" t="s">
        <v>258</v>
      </c>
      <c r="E14" s="279" t="s">
        <v>199</v>
      </c>
      <c r="F14" s="918" t="s">
        <v>676</v>
      </c>
    </row>
    <row r="15" spans="1:9" ht="42" x14ac:dyDescent="0.15">
      <c r="B15" s="208" t="s">
        <v>259</v>
      </c>
      <c r="C15" s="208" t="s">
        <v>257</v>
      </c>
      <c r="D15" s="208" t="s">
        <v>258</v>
      </c>
      <c r="E15" s="279" t="s">
        <v>202</v>
      </c>
      <c r="F15" s="919"/>
    </row>
    <row r="16" spans="1:9" s="194" customFormat="1" ht="56" x14ac:dyDescent="0.15">
      <c r="B16" s="208" t="s">
        <v>260</v>
      </c>
      <c r="C16" s="208" t="s">
        <v>261</v>
      </c>
      <c r="D16" s="208" t="s">
        <v>258</v>
      </c>
      <c r="E16" s="279" t="s">
        <v>262</v>
      </c>
      <c r="F16" s="919"/>
    </row>
    <row r="17" spans="1:6" ht="32" x14ac:dyDescent="0.15">
      <c r="B17" s="208" t="s">
        <v>679</v>
      </c>
      <c r="C17" s="208" t="s">
        <v>263</v>
      </c>
      <c r="D17" s="208" t="s">
        <v>790</v>
      </c>
      <c r="E17" s="279" t="s">
        <v>202</v>
      </c>
      <c r="F17" s="919"/>
    </row>
    <row r="18" spans="1:6" ht="56" x14ac:dyDescent="0.15">
      <c r="B18" s="208" t="s">
        <v>264</v>
      </c>
      <c r="C18" s="208" t="s">
        <v>201</v>
      </c>
      <c r="D18" s="208" t="s">
        <v>645</v>
      </c>
      <c r="E18" s="279" t="s">
        <v>202</v>
      </c>
      <c r="F18" s="920"/>
    </row>
    <row r="20" spans="1:6" s="194" customFormat="1" ht="18" customHeight="1" x14ac:dyDescent="0.15">
      <c r="A20" s="377">
        <v>3</v>
      </c>
      <c r="B20" s="318" t="s">
        <v>229</v>
      </c>
      <c r="C20" s="318"/>
      <c r="D20" s="318"/>
      <c r="E20" s="318"/>
      <c r="F20" s="318"/>
    </row>
    <row r="21" spans="1:6" s="205" customFormat="1" ht="34" x14ac:dyDescent="0.15">
      <c r="B21" s="251" t="s">
        <v>185</v>
      </c>
      <c r="C21" s="251" t="s">
        <v>186</v>
      </c>
      <c r="D21" s="251" t="s">
        <v>187</v>
      </c>
      <c r="E21" s="251" t="s">
        <v>188</v>
      </c>
      <c r="F21" s="251" t="s">
        <v>189</v>
      </c>
    </row>
    <row r="22" spans="1:6" s="205" customFormat="1" ht="42" x14ac:dyDescent="0.15">
      <c r="A22" s="206"/>
      <c r="B22" s="208" t="s">
        <v>265</v>
      </c>
      <c r="C22" s="208" t="s">
        <v>257</v>
      </c>
      <c r="D22" s="208" t="s">
        <v>266</v>
      </c>
      <c r="E22" s="279" t="s">
        <v>267</v>
      </c>
      <c r="F22" s="918" t="s">
        <v>676</v>
      </c>
    </row>
    <row r="23" spans="1:6" ht="42" x14ac:dyDescent="0.15">
      <c r="B23" s="208" t="s">
        <v>680</v>
      </c>
      <c r="C23" s="208" t="s">
        <v>257</v>
      </c>
      <c r="D23" s="246" t="s">
        <v>268</v>
      </c>
      <c r="E23" s="279" t="s">
        <v>267</v>
      </c>
      <c r="F23" s="919"/>
    </row>
    <row r="24" spans="1:6" ht="42" x14ac:dyDescent="0.15">
      <c r="B24" s="208" t="s">
        <v>269</v>
      </c>
      <c r="C24" s="208" t="s">
        <v>257</v>
      </c>
      <c r="D24" s="246" t="s">
        <v>270</v>
      </c>
      <c r="E24" s="279" t="s">
        <v>271</v>
      </c>
      <c r="F24" s="919"/>
    </row>
    <row r="25" spans="1:6" ht="42" x14ac:dyDescent="0.15">
      <c r="B25" s="208" t="s">
        <v>272</v>
      </c>
      <c r="C25" s="208" t="s">
        <v>257</v>
      </c>
      <c r="D25" s="246" t="s">
        <v>268</v>
      </c>
      <c r="E25" s="279" t="s">
        <v>267</v>
      </c>
      <c r="F25" s="919"/>
    </row>
    <row r="26" spans="1:6" ht="42" x14ac:dyDescent="0.15">
      <c r="B26" s="208" t="s">
        <v>273</v>
      </c>
      <c r="C26" s="208" t="s">
        <v>257</v>
      </c>
      <c r="D26" s="246" t="s">
        <v>274</v>
      </c>
      <c r="E26" s="279" t="s">
        <v>267</v>
      </c>
      <c r="F26" s="919"/>
    </row>
    <row r="27" spans="1:6" ht="42" x14ac:dyDescent="0.15">
      <c r="B27" s="246" t="s">
        <v>275</v>
      </c>
      <c r="C27" s="208" t="s">
        <v>257</v>
      </c>
      <c r="D27" s="246" t="s">
        <v>276</v>
      </c>
      <c r="E27" s="279" t="s">
        <v>267</v>
      </c>
      <c r="F27" s="919"/>
    </row>
    <row r="28" spans="1:6" ht="70" x14ac:dyDescent="0.15">
      <c r="B28" s="208" t="s">
        <v>277</v>
      </c>
      <c r="C28" s="209" t="s">
        <v>278</v>
      </c>
      <c r="D28" s="246" t="s">
        <v>276</v>
      </c>
      <c r="E28" s="279" t="s">
        <v>279</v>
      </c>
      <c r="F28" s="919"/>
    </row>
    <row r="29" spans="1:6" ht="25.5" customHeight="1" x14ac:dyDescent="0.15">
      <c r="B29" s="208" t="s">
        <v>280</v>
      </c>
      <c r="C29" s="208" t="s">
        <v>281</v>
      </c>
      <c r="D29" s="246" t="s">
        <v>276</v>
      </c>
      <c r="E29" s="279" t="s">
        <v>267</v>
      </c>
      <c r="F29" s="919"/>
    </row>
    <row r="30" spans="1:6" ht="56" x14ac:dyDescent="0.15">
      <c r="B30" s="208" t="s">
        <v>282</v>
      </c>
      <c r="C30" s="208" t="s">
        <v>257</v>
      </c>
      <c r="D30" s="246" t="s">
        <v>283</v>
      </c>
      <c r="E30" s="279" t="s">
        <v>267</v>
      </c>
      <c r="F30" s="919"/>
    </row>
    <row r="31" spans="1:6" ht="42" x14ac:dyDescent="0.15">
      <c r="B31" s="208" t="s">
        <v>284</v>
      </c>
      <c r="C31" s="208" t="s">
        <v>257</v>
      </c>
      <c r="D31" s="246" t="s">
        <v>283</v>
      </c>
      <c r="E31" s="279" t="s">
        <v>267</v>
      </c>
      <c r="F31" s="919"/>
    </row>
    <row r="32" spans="1:6" ht="42" x14ac:dyDescent="0.15">
      <c r="B32" s="208" t="s">
        <v>285</v>
      </c>
      <c r="C32" s="208" t="s">
        <v>257</v>
      </c>
      <c r="D32" s="246" t="s">
        <v>286</v>
      </c>
      <c r="E32" s="279" t="s">
        <v>267</v>
      </c>
      <c r="F32" s="919"/>
    </row>
    <row r="33" spans="2:6" ht="42" x14ac:dyDescent="0.15">
      <c r="B33" s="208" t="s">
        <v>287</v>
      </c>
      <c r="C33" s="208" t="s">
        <v>257</v>
      </c>
      <c r="D33" s="246" t="s">
        <v>286</v>
      </c>
      <c r="E33" s="279" t="s">
        <v>267</v>
      </c>
      <c r="F33" s="919"/>
    </row>
    <row r="34" spans="2:6" ht="42" x14ac:dyDescent="0.15">
      <c r="B34" s="208" t="s">
        <v>288</v>
      </c>
      <c r="C34" s="208" t="s">
        <v>289</v>
      </c>
      <c r="D34" s="246" t="s">
        <v>290</v>
      </c>
      <c r="E34" s="279" t="s">
        <v>267</v>
      </c>
      <c r="F34" s="919"/>
    </row>
    <row r="35" spans="2:6" ht="70" x14ac:dyDescent="0.15">
      <c r="B35" s="208" t="s">
        <v>291</v>
      </c>
      <c r="C35" s="209" t="s">
        <v>292</v>
      </c>
      <c r="D35" s="246" t="s">
        <v>293</v>
      </c>
      <c r="E35" s="279" t="s">
        <v>294</v>
      </c>
      <c r="F35" s="919"/>
    </row>
    <row r="36" spans="2:6" ht="45.75" customHeight="1" x14ac:dyDescent="0.15">
      <c r="B36" s="208" t="s">
        <v>295</v>
      </c>
      <c r="C36" s="208" t="s">
        <v>296</v>
      </c>
      <c r="D36" s="246" t="s">
        <v>297</v>
      </c>
      <c r="E36" s="279" t="s">
        <v>267</v>
      </c>
      <c r="F36" s="919"/>
    </row>
    <row r="37" spans="2:6" ht="31.5" customHeight="1" x14ac:dyDescent="0.15">
      <c r="B37" s="208" t="s">
        <v>298</v>
      </c>
      <c r="C37" s="208" t="s">
        <v>299</v>
      </c>
      <c r="D37" s="208" t="s">
        <v>300</v>
      </c>
      <c r="E37" s="279" t="s">
        <v>267</v>
      </c>
      <c r="F37" s="919"/>
    </row>
    <row r="38" spans="2:6" ht="42" x14ac:dyDescent="0.15">
      <c r="B38" s="208" t="s">
        <v>681</v>
      </c>
      <c r="C38" s="208" t="s">
        <v>301</v>
      </c>
      <c r="D38" s="208" t="s">
        <v>682</v>
      </c>
      <c r="E38" s="279" t="s">
        <v>302</v>
      </c>
      <c r="F38" s="920"/>
    </row>
  </sheetData>
  <mergeCells count="4">
    <mergeCell ref="B2:F2"/>
    <mergeCell ref="F22:F38"/>
    <mergeCell ref="F7:F10"/>
    <mergeCell ref="F14:F1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53B31-CF14-4C0D-AFDA-B602808EF611}">
  <sheetPr>
    <tabColor rgb="FF404040"/>
  </sheetPr>
  <dimension ref="A1:P185"/>
  <sheetViews>
    <sheetView showGridLines="0" zoomScaleNormal="100" workbookViewId="0">
      <selection activeCell="C6" sqref="C6"/>
    </sheetView>
  </sheetViews>
  <sheetFormatPr baseColWidth="10" defaultColWidth="11" defaultRowHeight="16" x14ac:dyDescent="0.2"/>
  <cols>
    <col min="1" max="1" width="7.6640625" style="24" customWidth="1"/>
    <col min="2" max="2" width="40.6640625" style="24" customWidth="1"/>
    <col min="3" max="5" width="20.83203125" style="8" customWidth="1"/>
    <col min="6" max="6" width="23.5" style="24" customWidth="1"/>
    <col min="7" max="13" width="20.83203125" style="24" customWidth="1"/>
    <col min="14" max="14" width="17.6640625" style="24" bestFit="1" customWidth="1"/>
    <col min="15" max="15" width="46" style="8" customWidth="1"/>
    <col min="16" max="16384" width="11" style="24"/>
  </cols>
  <sheetData>
    <row r="1" spans="1:15" customFormat="1" ht="35" customHeight="1" x14ac:dyDescent="0.2">
      <c r="A1" s="115"/>
      <c r="B1" s="309" t="s">
        <v>303</v>
      </c>
      <c r="C1" s="109"/>
      <c r="D1" s="109"/>
      <c r="E1" s="110"/>
      <c r="F1" s="110"/>
      <c r="G1" s="110"/>
      <c r="H1" s="111"/>
      <c r="I1" s="108"/>
      <c r="J1" s="112"/>
      <c r="K1" s="112"/>
      <c r="L1" s="108"/>
      <c r="M1" s="112"/>
      <c r="N1" s="113"/>
      <c r="O1" s="113"/>
    </row>
    <row r="2" spans="1:15" s="2" customFormat="1" ht="50.25" customHeight="1" x14ac:dyDescent="0.2">
      <c r="B2" s="903" t="s">
        <v>831</v>
      </c>
      <c r="C2" s="903"/>
      <c r="D2" s="903"/>
      <c r="E2" s="903"/>
      <c r="F2" s="903"/>
      <c r="G2" s="903"/>
    </row>
    <row r="3" spans="1:15" customFormat="1" ht="17" x14ac:dyDescent="0.2">
      <c r="A3" s="1"/>
      <c r="B3" s="374" t="s">
        <v>818</v>
      </c>
      <c r="C3" s="535" t="s">
        <v>858</v>
      </c>
      <c r="D3" s="374"/>
      <c r="E3" s="374"/>
      <c r="F3" s="374"/>
      <c r="G3" s="374"/>
    </row>
    <row r="4" spans="1:15" customFormat="1" ht="17" x14ac:dyDescent="0.2">
      <c r="A4" s="1"/>
      <c r="B4" s="374" t="s">
        <v>819</v>
      </c>
      <c r="C4" s="847" t="s">
        <v>862</v>
      </c>
      <c r="D4" s="374"/>
      <c r="E4" s="374"/>
      <c r="F4" s="374"/>
      <c r="G4" s="374"/>
    </row>
    <row r="5" spans="1:15" customFormat="1" ht="17" x14ac:dyDescent="0.2">
      <c r="A5" s="1"/>
      <c r="B5" s="374" t="s">
        <v>859</v>
      </c>
      <c r="C5" s="374"/>
      <c r="D5" s="374"/>
      <c r="E5" s="374"/>
      <c r="F5" s="374"/>
      <c r="G5" s="374"/>
    </row>
    <row r="6" spans="1:15" x14ac:dyDescent="0.2">
      <c r="B6" s="71"/>
      <c r="F6" s="10"/>
    </row>
    <row r="7" spans="1:15" s="317" customFormat="1" ht="24" customHeight="1" x14ac:dyDescent="0.2">
      <c r="A7" s="336">
        <v>1</v>
      </c>
      <c r="B7" s="318" t="s">
        <v>622</v>
      </c>
      <c r="C7" s="318"/>
      <c r="D7" s="318"/>
      <c r="E7" s="318"/>
      <c r="F7" s="318"/>
      <c r="G7" s="319"/>
      <c r="H7" s="320"/>
      <c r="I7" s="321"/>
      <c r="J7" s="322"/>
      <c r="K7" s="322"/>
      <c r="L7" s="321"/>
      <c r="M7" s="322"/>
      <c r="N7" s="323"/>
      <c r="O7" s="323"/>
    </row>
    <row r="8" spans="1:15" customFormat="1" x14ac:dyDescent="0.2"/>
    <row r="9" spans="1:15" customFormat="1" ht="48.75" customHeight="1" x14ac:dyDescent="0.2">
      <c r="B9" s="884" t="s">
        <v>832</v>
      </c>
      <c r="C9" s="884"/>
      <c r="D9" s="884"/>
      <c r="E9" s="884"/>
      <c r="F9" s="884"/>
      <c r="G9" s="364"/>
    </row>
    <row r="10" spans="1:15" customFormat="1" ht="16" customHeight="1" x14ac:dyDescent="0.2">
      <c r="B10" s="374"/>
      <c r="C10" s="374"/>
      <c r="D10" s="374"/>
      <c r="E10" s="374"/>
      <c r="F10" s="374"/>
      <c r="G10" s="364"/>
    </row>
    <row r="11" spans="1:15" customFormat="1" ht="16" customHeight="1" x14ac:dyDescent="0.2">
      <c r="B11" s="409" t="s">
        <v>740</v>
      </c>
      <c r="C11" s="374"/>
      <c r="D11" s="374"/>
      <c r="E11" s="374"/>
      <c r="F11" s="374"/>
      <c r="G11" s="364"/>
    </row>
    <row r="12" spans="1:15" customFormat="1" x14ac:dyDescent="0.2">
      <c r="B12" s="409" t="s">
        <v>741</v>
      </c>
    </row>
    <row r="13" spans="1:15" customFormat="1" ht="17" thickBot="1" x14ac:dyDescent="0.25">
      <c r="B13" s="409"/>
    </row>
    <row r="14" spans="1:15" x14ac:dyDescent="0.2">
      <c r="B14" s="931" t="s">
        <v>117</v>
      </c>
      <c r="C14" s="933" t="s">
        <v>120</v>
      </c>
      <c r="D14" s="933" t="s">
        <v>121</v>
      </c>
      <c r="E14" s="935" t="s">
        <v>118</v>
      </c>
      <c r="F14" s="937" t="s">
        <v>304</v>
      </c>
    </row>
    <row r="15" spans="1:15" x14ac:dyDescent="0.2">
      <c r="B15" s="932"/>
      <c r="C15" s="934"/>
      <c r="D15" s="934"/>
      <c r="E15" s="936"/>
      <c r="F15" s="938" t="s">
        <v>122</v>
      </c>
    </row>
    <row r="16" spans="1:15" x14ac:dyDescent="0.2">
      <c r="B16" s="615" t="s">
        <v>123</v>
      </c>
      <c r="C16" s="414">
        <f>D64</f>
        <v>17.196511879052</v>
      </c>
      <c r="D16" s="414">
        <f>N64</f>
        <v>17.196511879052</v>
      </c>
      <c r="E16" s="76" t="s">
        <v>332</v>
      </c>
      <c r="F16" s="661" t="s">
        <v>332</v>
      </c>
    </row>
    <row r="17" spans="1:15" x14ac:dyDescent="0.2">
      <c r="B17" s="615" t="s">
        <v>125</v>
      </c>
      <c r="C17" s="414">
        <f>D87</f>
        <v>17.196511879052</v>
      </c>
      <c r="D17" s="414">
        <f>N87</f>
        <v>15.402674890254143</v>
      </c>
      <c r="E17" s="72">
        <f>(D17-C17)/C17</f>
        <v>-0.10431400282885428</v>
      </c>
      <c r="F17" s="662">
        <f>(D16-D17)</f>
        <v>1.7938369887978567</v>
      </c>
    </row>
    <row r="18" spans="1:15" x14ac:dyDescent="0.2">
      <c r="B18" s="615" t="s">
        <v>305</v>
      </c>
      <c r="C18" s="414">
        <f>D110</f>
        <v>17.196511879052</v>
      </c>
      <c r="D18" s="414">
        <f>N110</f>
        <v>13.608837901456287</v>
      </c>
      <c r="E18" s="72">
        <f t="shared" ref="E18:E19" si="0">(D18-C18)/C18</f>
        <v>-0.20862800565770856</v>
      </c>
      <c r="F18" s="662">
        <f>(D16-D18)</f>
        <v>3.5876739775957134</v>
      </c>
    </row>
    <row r="19" spans="1:15" ht="17" thickBot="1" x14ac:dyDescent="0.25">
      <c r="B19" s="663" t="s">
        <v>124</v>
      </c>
      <c r="C19" s="664">
        <f>D133</f>
        <v>17.196511879052</v>
      </c>
      <c r="D19" s="664">
        <f>N133</f>
        <v>11.81500091265843</v>
      </c>
      <c r="E19" s="665">
        <f t="shared" si="0"/>
        <v>-0.31294200848656284</v>
      </c>
      <c r="F19" s="666">
        <f>(D16-D19)</f>
        <v>5.3815109663935701</v>
      </c>
    </row>
    <row r="20" spans="1:15" x14ac:dyDescent="0.2">
      <c r="C20" s="12"/>
      <c r="D20" s="12"/>
      <c r="E20" s="289"/>
      <c r="F20" s="290"/>
    </row>
    <row r="21" spans="1:15" s="317" customFormat="1" ht="29.25" customHeight="1" x14ac:dyDescent="0.2">
      <c r="A21" s="336">
        <v>2</v>
      </c>
      <c r="B21" s="346" t="s">
        <v>737</v>
      </c>
      <c r="C21" s="318"/>
      <c r="D21" s="318"/>
      <c r="E21" s="318"/>
      <c r="F21" s="318"/>
      <c r="G21" s="319"/>
      <c r="H21" s="320"/>
      <c r="I21" s="321"/>
      <c r="J21" s="322"/>
      <c r="K21" s="322"/>
      <c r="L21" s="321"/>
      <c r="M21" s="322"/>
      <c r="N21" s="323"/>
      <c r="O21" s="323"/>
    </row>
    <row r="22" spans="1:15" customFormat="1" ht="30" customHeight="1" x14ac:dyDescent="0.2">
      <c r="B22" s="417" t="s">
        <v>821</v>
      </c>
    </row>
    <row r="23" spans="1:15" s="426" customFormat="1" ht="27.75" customHeight="1" thickBot="1" x14ac:dyDescent="0.25">
      <c r="A23" s="424"/>
      <c r="B23" s="425" t="s">
        <v>833</v>
      </c>
      <c r="O23" s="424"/>
    </row>
    <row r="24" spans="1:15" ht="19.5" customHeight="1" x14ac:dyDescent="0.2">
      <c r="A24"/>
      <c r="B24" s="924" t="s">
        <v>739</v>
      </c>
      <c r="C24" s="927" t="s">
        <v>117</v>
      </c>
      <c r="D24" s="928"/>
      <c r="E24" s="928"/>
      <c r="F24" s="929"/>
    </row>
    <row r="25" spans="1:15" ht="19.5" customHeight="1" x14ac:dyDescent="0.2">
      <c r="B25" s="930"/>
      <c r="C25" s="278" t="s">
        <v>123</v>
      </c>
      <c r="D25" s="278" t="s">
        <v>125</v>
      </c>
      <c r="E25" s="278" t="s">
        <v>305</v>
      </c>
      <c r="F25" s="591" t="s">
        <v>124</v>
      </c>
    </row>
    <row r="26" spans="1:15" ht="18" x14ac:dyDescent="0.2">
      <c r="B26" s="592" t="s">
        <v>306</v>
      </c>
      <c r="C26" s="73">
        <v>0.01</v>
      </c>
      <c r="D26" s="75">
        <f>C26-(C26*59%)</f>
        <v>4.1000000000000003E-3</v>
      </c>
      <c r="E26" s="75">
        <f>C26-(C26*59%)</f>
        <v>4.1000000000000003E-3</v>
      </c>
      <c r="F26" s="593">
        <f>C26-(C26*59%)</f>
        <v>4.1000000000000003E-3</v>
      </c>
    </row>
    <row r="27" spans="1:15" ht="18" x14ac:dyDescent="0.2">
      <c r="B27" s="592" t="s">
        <v>307</v>
      </c>
      <c r="C27" s="73">
        <v>0.01</v>
      </c>
      <c r="D27" s="73">
        <v>0.01</v>
      </c>
      <c r="E27" s="73">
        <v>0.01</v>
      </c>
      <c r="F27" s="594">
        <v>0.01</v>
      </c>
    </row>
    <row r="28" spans="1:15" ht="18" x14ac:dyDescent="0.2">
      <c r="B28" s="592" t="s">
        <v>308</v>
      </c>
      <c r="C28" s="73">
        <v>1.0999999999999999E-2</v>
      </c>
      <c r="D28" s="73">
        <v>1.0999999999999999E-2</v>
      </c>
      <c r="E28" s="73">
        <v>1.0999999999999999E-2</v>
      </c>
      <c r="F28" s="594">
        <v>1.0999999999999999E-2</v>
      </c>
      <c r="G28"/>
      <c r="H28" s="42"/>
      <c r="I28" s="42"/>
      <c r="L28" s="39"/>
      <c r="N28" s="39"/>
    </row>
    <row r="29" spans="1:15" ht="18" x14ac:dyDescent="0.2">
      <c r="B29" s="592" t="s">
        <v>309</v>
      </c>
      <c r="C29" s="74">
        <v>0.15</v>
      </c>
      <c r="D29" s="74">
        <v>0.15</v>
      </c>
      <c r="E29" s="74">
        <v>0.15</v>
      </c>
      <c r="F29" s="595">
        <v>0.15</v>
      </c>
      <c r="G29"/>
      <c r="H29" s="42"/>
      <c r="I29" s="42"/>
      <c r="L29" s="39"/>
      <c r="N29" s="39"/>
    </row>
    <row r="30" spans="1:15" ht="19" thickBot="1" x14ac:dyDescent="0.25">
      <c r="B30" s="596" t="s">
        <v>310</v>
      </c>
      <c r="C30" s="597">
        <v>0.24</v>
      </c>
      <c r="D30" s="597">
        <v>0.24</v>
      </c>
      <c r="E30" s="597">
        <v>0.24</v>
      </c>
      <c r="F30" s="598">
        <v>0.24</v>
      </c>
      <c r="G30"/>
      <c r="H30" s="42"/>
      <c r="I30" s="42"/>
      <c r="L30" s="39"/>
      <c r="N30" s="39"/>
    </row>
    <row r="31" spans="1:15" customFormat="1" ht="17" thickBot="1" x14ac:dyDescent="0.25">
      <c r="O31" s="1"/>
    </row>
    <row r="32" spans="1:15" ht="15.75" customHeight="1" x14ac:dyDescent="0.2">
      <c r="B32" s="924" t="s">
        <v>311</v>
      </c>
      <c r="C32" s="599" t="s">
        <v>63</v>
      </c>
      <c r="D32" s="599" t="s">
        <v>88</v>
      </c>
      <c r="E32" s="599" t="s">
        <v>89</v>
      </c>
      <c r="F32" s="600" t="s">
        <v>90</v>
      </c>
      <c r="G32" s="601" t="s">
        <v>91</v>
      </c>
      <c r="H32" s="55"/>
    </row>
    <row r="33" spans="1:16" ht="15" customHeight="1" x14ac:dyDescent="0.2">
      <c r="B33" s="925"/>
      <c r="C33" s="23" t="s">
        <v>66</v>
      </c>
      <c r="D33" s="266" t="s">
        <v>97</v>
      </c>
      <c r="E33" s="23" t="s">
        <v>67</v>
      </c>
      <c r="F33" s="25" t="s">
        <v>98</v>
      </c>
      <c r="G33" s="602">
        <v>23738.289999999997</v>
      </c>
      <c r="H33" s="55"/>
    </row>
    <row r="34" spans="1:16" ht="15" customHeight="1" x14ac:dyDescent="0.2">
      <c r="B34" s="925"/>
      <c r="C34" s="23" t="s">
        <v>66</v>
      </c>
      <c r="D34" s="266" t="s">
        <v>97</v>
      </c>
      <c r="E34" s="23" t="s">
        <v>67</v>
      </c>
      <c r="F34" s="25" t="s">
        <v>101</v>
      </c>
      <c r="G34" s="602">
        <v>18182.52</v>
      </c>
      <c r="H34" s="55"/>
    </row>
    <row r="35" spans="1:16" ht="15" customHeight="1" x14ac:dyDescent="0.2">
      <c r="B35" s="925"/>
      <c r="C35" s="23" t="s">
        <v>66</v>
      </c>
      <c r="D35" s="266" t="s">
        <v>97</v>
      </c>
      <c r="E35" s="23" t="s">
        <v>67</v>
      </c>
      <c r="F35" s="25" t="s">
        <v>103</v>
      </c>
      <c r="G35" s="602">
        <v>8586.19</v>
      </c>
    </row>
    <row r="36" spans="1:16" ht="15" customHeight="1" x14ac:dyDescent="0.2">
      <c r="B36" s="925"/>
      <c r="C36" s="23" t="s">
        <v>66</v>
      </c>
      <c r="D36" s="266" t="s">
        <v>97</v>
      </c>
      <c r="E36" s="23" t="s">
        <v>70</v>
      </c>
      <c r="F36" s="25" t="s">
        <v>101</v>
      </c>
      <c r="G36" s="602">
        <v>2309</v>
      </c>
    </row>
    <row r="37" spans="1:16" ht="15" customHeight="1" x14ac:dyDescent="0.2">
      <c r="B37" s="925"/>
      <c r="C37" s="23" t="s">
        <v>66</v>
      </c>
      <c r="D37" s="266" t="s">
        <v>97</v>
      </c>
      <c r="E37" s="23" t="s">
        <v>75</v>
      </c>
      <c r="F37" s="25" t="s">
        <v>103</v>
      </c>
      <c r="G37" s="602">
        <v>1194.5999999999999</v>
      </c>
    </row>
    <row r="38" spans="1:16" ht="15" customHeight="1" thickBot="1" x14ac:dyDescent="0.25">
      <c r="B38" s="926"/>
      <c r="C38" s="603" t="s">
        <v>66</v>
      </c>
      <c r="D38" s="604" t="s">
        <v>97</v>
      </c>
      <c r="E38" s="603" t="s">
        <v>75</v>
      </c>
      <c r="F38" s="605" t="s">
        <v>105</v>
      </c>
      <c r="G38" s="606">
        <v>4235.4000000000005</v>
      </c>
    </row>
    <row r="39" spans="1:16" customFormat="1" ht="15" customHeight="1" thickBot="1" x14ac:dyDescent="0.25">
      <c r="O39" s="1"/>
    </row>
    <row r="40" spans="1:16" ht="69" thickBot="1" x14ac:dyDescent="0.25">
      <c r="B40" s="667" t="s">
        <v>312</v>
      </c>
      <c r="C40" s="668">
        <f>SUM(G33:G38)</f>
        <v>58246</v>
      </c>
      <c r="D40" s="669" t="s">
        <v>605</v>
      </c>
      <c r="E40" s="670">
        <f>C40*109</f>
        <v>6348814</v>
      </c>
      <c r="F40" s="671" t="s">
        <v>313</v>
      </c>
      <c r="G40" s="672">
        <f>E40*0.46</f>
        <v>2920454.44</v>
      </c>
      <c r="H40" s="57"/>
      <c r="I40" s="57"/>
      <c r="J40" s="57"/>
      <c r="K40" s="57"/>
      <c r="L40" s="57"/>
      <c r="M40" s="57"/>
    </row>
    <row r="41" spans="1:16" x14ac:dyDescent="0.2">
      <c r="C41" s="37"/>
      <c r="D41" s="58"/>
      <c r="E41" s="58"/>
      <c r="H41" s="58"/>
      <c r="I41" s="58"/>
      <c r="J41" s="58"/>
      <c r="K41" s="58"/>
      <c r="L41" s="58"/>
      <c r="M41" s="58"/>
    </row>
    <row r="42" spans="1:16" s="317" customFormat="1" ht="18" x14ac:dyDescent="0.2">
      <c r="A42" s="336">
        <v>3</v>
      </c>
      <c r="B42" s="376" t="s">
        <v>860</v>
      </c>
      <c r="C42" s="318"/>
      <c r="D42" s="318"/>
      <c r="E42" s="318"/>
      <c r="F42" s="318"/>
      <c r="G42" s="319"/>
      <c r="H42" s="320"/>
      <c r="I42" s="321"/>
      <c r="J42" s="322"/>
      <c r="K42" s="322"/>
      <c r="L42" s="321"/>
      <c r="M42" s="322"/>
      <c r="N42" s="323"/>
      <c r="O42" s="323"/>
    </row>
    <row r="43" spans="1:16" customFormat="1" ht="23.25" customHeight="1" x14ac:dyDescent="0.2">
      <c r="A43" s="1"/>
      <c r="B43" s="417" t="s">
        <v>835</v>
      </c>
      <c r="C43" s="417"/>
      <c r="D43" s="417"/>
      <c r="E43" s="417"/>
      <c r="F43" s="417"/>
      <c r="O43" s="18"/>
      <c r="P43" s="24"/>
    </row>
    <row r="44" spans="1:16" s="2" customFormat="1" ht="24.75" customHeight="1" thickBot="1" x14ac:dyDescent="0.25">
      <c r="A44" s="418"/>
      <c r="B44" s="417" t="s">
        <v>791</v>
      </c>
      <c r="O44" s="418"/>
    </row>
    <row r="45" spans="1:16" ht="20" thickBot="1" x14ac:dyDescent="0.25">
      <c r="B45" s="673" t="s">
        <v>627</v>
      </c>
      <c r="C45" s="674"/>
      <c r="D45" s="675"/>
      <c r="E45" s="676"/>
      <c r="F45" s="674"/>
      <c r="G45" s="676"/>
      <c r="H45" s="676"/>
      <c r="I45" s="676"/>
      <c r="J45" s="676"/>
      <c r="K45" s="676"/>
      <c r="L45" s="676"/>
      <c r="M45" s="676"/>
      <c r="N45" s="676"/>
      <c r="O45" s="677"/>
    </row>
    <row r="46" spans="1:16" customFormat="1" ht="17" thickBot="1" x14ac:dyDescent="0.25"/>
    <row r="47" spans="1:16" ht="17" x14ac:dyDescent="0.2">
      <c r="B47" s="608"/>
      <c r="C47" s="609" t="s">
        <v>126</v>
      </c>
      <c r="D47" s="609" t="s">
        <v>120</v>
      </c>
      <c r="E47" s="609" t="s">
        <v>146</v>
      </c>
      <c r="F47" s="609" t="s">
        <v>147</v>
      </c>
      <c r="G47" s="609" t="s">
        <v>148</v>
      </c>
      <c r="H47" s="609" t="s">
        <v>149</v>
      </c>
      <c r="I47" s="610" t="s">
        <v>150</v>
      </c>
      <c r="J47" s="609" t="s">
        <v>151</v>
      </c>
      <c r="K47" s="611" t="s">
        <v>152</v>
      </c>
      <c r="L47" s="611" t="s">
        <v>153</v>
      </c>
      <c r="M47" s="612" t="s">
        <v>154</v>
      </c>
      <c r="N47" s="613" t="s">
        <v>121</v>
      </c>
      <c r="O47" s="614" t="s">
        <v>155</v>
      </c>
    </row>
    <row r="48" spans="1:16" ht="18" customHeight="1" x14ac:dyDescent="0.15">
      <c r="A48" s="375"/>
      <c r="B48" s="615" t="s">
        <v>314</v>
      </c>
      <c r="C48" s="23" t="s">
        <v>315</v>
      </c>
      <c r="D48" s="44">
        <f t="shared" ref="D48:N48" si="1">$G40</f>
        <v>2920454.44</v>
      </c>
      <c r="E48" s="44">
        <f t="shared" si="1"/>
        <v>2920454.44</v>
      </c>
      <c r="F48" s="44">
        <f t="shared" si="1"/>
        <v>2920454.44</v>
      </c>
      <c r="G48" s="44">
        <f t="shared" si="1"/>
        <v>2920454.44</v>
      </c>
      <c r="H48" s="44">
        <f t="shared" si="1"/>
        <v>2920454.44</v>
      </c>
      <c r="I48" s="44">
        <f t="shared" si="1"/>
        <v>2920454.44</v>
      </c>
      <c r="J48" s="44">
        <f t="shared" si="1"/>
        <v>2920454.44</v>
      </c>
      <c r="K48" s="44">
        <f t="shared" si="1"/>
        <v>2920454.44</v>
      </c>
      <c r="L48" s="44">
        <f t="shared" si="1"/>
        <v>2920454.44</v>
      </c>
      <c r="M48" s="44">
        <f t="shared" si="1"/>
        <v>2920454.44</v>
      </c>
      <c r="N48" s="119">
        <f t="shared" si="1"/>
        <v>2920454.44</v>
      </c>
      <c r="O48" s="616"/>
    </row>
    <row r="49" spans="1:15" ht="19.5" customHeight="1" x14ac:dyDescent="0.2">
      <c r="A49" s="6"/>
      <c r="B49" s="615" t="s">
        <v>316</v>
      </c>
      <c r="C49" s="23" t="s">
        <v>315</v>
      </c>
      <c r="D49" s="45">
        <f t="shared" ref="D49:N49" si="2">$D48-$G40</f>
        <v>0</v>
      </c>
      <c r="E49" s="45">
        <f t="shared" si="2"/>
        <v>0</v>
      </c>
      <c r="F49" s="45">
        <f t="shared" si="2"/>
        <v>0</v>
      </c>
      <c r="G49" s="45">
        <f t="shared" si="2"/>
        <v>0</v>
      </c>
      <c r="H49" s="45">
        <f t="shared" si="2"/>
        <v>0</v>
      </c>
      <c r="I49" s="45">
        <f t="shared" si="2"/>
        <v>0</v>
      </c>
      <c r="J49" s="45">
        <f t="shared" si="2"/>
        <v>0</v>
      </c>
      <c r="K49" s="45">
        <f t="shared" si="2"/>
        <v>0</v>
      </c>
      <c r="L49" s="45">
        <f t="shared" si="2"/>
        <v>0</v>
      </c>
      <c r="M49" s="45">
        <f t="shared" si="2"/>
        <v>0</v>
      </c>
      <c r="N49" s="120">
        <f t="shared" si="2"/>
        <v>0</v>
      </c>
      <c r="O49" s="617"/>
    </row>
    <row r="50" spans="1:15" ht="19.5" customHeight="1" x14ac:dyDescent="0.2">
      <c r="B50" s="618" t="s">
        <v>317</v>
      </c>
      <c r="C50" s="102"/>
      <c r="D50" s="103"/>
      <c r="E50" s="103"/>
      <c r="F50" s="103"/>
      <c r="G50" s="103"/>
      <c r="H50" s="103"/>
      <c r="I50" s="103"/>
      <c r="J50" s="103"/>
      <c r="K50" s="103"/>
      <c r="L50" s="103"/>
      <c r="M50" s="103"/>
      <c r="N50" s="121"/>
      <c r="O50" s="619"/>
    </row>
    <row r="51" spans="1:15" ht="24.75" customHeight="1" x14ac:dyDescent="0.2">
      <c r="B51" s="615" t="s">
        <v>318</v>
      </c>
      <c r="C51" s="23" t="s">
        <v>319</v>
      </c>
      <c r="D51" s="46">
        <f t="shared" ref="D51:N51" si="3">(D48*$C26)+(D49*$C26)</f>
        <v>29204.544399999999</v>
      </c>
      <c r="E51" s="46">
        <f t="shared" si="3"/>
        <v>29204.544399999999</v>
      </c>
      <c r="F51" s="46">
        <f t="shared" si="3"/>
        <v>29204.544399999999</v>
      </c>
      <c r="G51" s="46">
        <f t="shared" si="3"/>
        <v>29204.544399999999</v>
      </c>
      <c r="H51" s="46">
        <f t="shared" si="3"/>
        <v>29204.544399999999</v>
      </c>
      <c r="I51" s="46">
        <f t="shared" si="3"/>
        <v>29204.544399999999</v>
      </c>
      <c r="J51" s="46">
        <f t="shared" si="3"/>
        <v>29204.544399999999</v>
      </c>
      <c r="K51" s="46">
        <f t="shared" si="3"/>
        <v>29204.544399999999</v>
      </c>
      <c r="L51" s="46">
        <f t="shared" si="3"/>
        <v>29204.544399999999</v>
      </c>
      <c r="M51" s="46">
        <f t="shared" si="3"/>
        <v>29204.544399999999</v>
      </c>
      <c r="N51" s="122">
        <f t="shared" si="3"/>
        <v>29204.544399999999</v>
      </c>
      <c r="O51" s="620"/>
    </row>
    <row r="52" spans="1:15" ht="24.75" customHeight="1" x14ac:dyDescent="0.2">
      <c r="B52" s="615" t="s">
        <v>320</v>
      </c>
      <c r="C52" s="23" t="s">
        <v>321</v>
      </c>
      <c r="D52" s="46">
        <f>D51*44/28</f>
        <v>45892.855485714281</v>
      </c>
      <c r="E52" s="46">
        <f t="shared" ref="E52:N52" si="4">E51*44/28</f>
        <v>45892.855485714281</v>
      </c>
      <c r="F52" s="46">
        <f t="shared" si="4"/>
        <v>45892.855485714281</v>
      </c>
      <c r="G52" s="46">
        <f t="shared" si="4"/>
        <v>45892.855485714281</v>
      </c>
      <c r="H52" s="46">
        <f t="shared" si="4"/>
        <v>45892.855485714281</v>
      </c>
      <c r="I52" s="46">
        <f t="shared" si="4"/>
        <v>45892.855485714281</v>
      </c>
      <c r="J52" s="46">
        <f t="shared" si="4"/>
        <v>45892.855485714281</v>
      </c>
      <c r="K52" s="46">
        <f t="shared" si="4"/>
        <v>45892.855485714281</v>
      </c>
      <c r="L52" s="46">
        <f t="shared" si="4"/>
        <v>45892.855485714281</v>
      </c>
      <c r="M52" s="46">
        <f t="shared" si="4"/>
        <v>45892.855485714281</v>
      </c>
      <c r="N52" s="122">
        <f t="shared" si="4"/>
        <v>45892.855485714281</v>
      </c>
      <c r="O52" s="620"/>
    </row>
    <row r="53" spans="1:15" ht="19.5" customHeight="1" x14ac:dyDescent="0.2">
      <c r="B53" s="618" t="s">
        <v>322</v>
      </c>
      <c r="C53" s="102"/>
      <c r="D53" s="103"/>
      <c r="E53" s="103"/>
      <c r="F53" s="103"/>
      <c r="G53" s="103"/>
      <c r="H53" s="103"/>
      <c r="I53" s="103"/>
      <c r="J53" s="103"/>
      <c r="K53" s="103"/>
      <c r="L53" s="103"/>
      <c r="M53" s="103"/>
      <c r="N53" s="121"/>
      <c r="O53" s="619"/>
    </row>
    <row r="54" spans="1:15" ht="18" x14ac:dyDescent="0.2">
      <c r="B54" s="615" t="s">
        <v>323</v>
      </c>
      <c r="C54" s="23" t="s">
        <v>319</v>
      </c>
      <c r="D54" s="46">
        <f>$G$40*$C27*$C$29</f>
        <v>4380.6816599999993</v>
      </c>
      <c r="E54" s="46">
        <f t="shared" ref="E54:N54" si="5">E48*$C27*$C29</f>
        <v>4380.6816599999993</v>
      </c>
      <c r="F54" s="46">
        <f t="shared" si="5"/>
        <v>4380.6816599999993</v>
      </c>
      <c r="G54" s="46">
        <f t="shared" si="5"/>
        <v>4380.6816599999993</v>
      </c>
      <c r="H54" s="46">
        <f t="shared" si="5"/>
        <v>4380.6816599999993</v>
      </c>
      <c r="I54" s="46">
        <f t="shared" si="5"/>
        <v>4380.6816599999993</v>
      </c>
      <c r="J54" s="46">
        <f t="shared" si="5"/>
        <v>4380.6816599999993</v>
      </c>
      <c r="K54" s="46">
        <f t="shared" si="5"/>
        <v>4380.6816599999993</v>
      </c>
      <c r="L54" s="46">
        <f t="shared" si="5"/>
        <v>4380.6816599999993</v>
      </c>
      <c r="M54" s="46">
        <f t="shared" si="5"/>
        <v>4380.6816599999993</v>
      </c>
      <c r="N54" s="122">
        <f t="shared" si="5"/>
        <v>4380.6816599999993</v>
      </c>
      <c r="O54" s="620"/>
    </row>
    <row r="55" spans="1:15" ht="22.5" customHeight="1" x14ac:dyDescent="0.2">
      <c r="B55" s="615" t="s">
        <v>324</v>
      </c>
      <c r="C55" s="23" t="s">
        <v>319</v>
      </c>
      <c r="D55" s="46">
        <f t="shared" ref="D55:N55" si="6">$G$40*$C28*$C30</f>
        <v>7709.9997215999992</v>
      </c>
      <c r="E55" s="46">
        <f t="shared" si="6"/>
        <v>7709.9997215999992</v>
      </c>
      <c r="F55" s="46">
        <f t="shared" si="6"/>
        <v>7709.9997215999992</v>
      </c>
      <c r="G55" s="46">
        <f t="shared" si="6"/>
        <v>7709.9997215999992</v>
      </c>
      <c r="H55" s="46">
        <f t="shared" si="6"/>
        <v>7709.9997215999992</v>
      </c>
      <c r="I55" s="46">
        <f t="shared" si="6"/>
        <v>7709.9997215999992</v>
      </c>
      <c r="J55" s="46">
        <f t="shared" si="6"/>
        <v>7709.9997215999992</v>
      </c>
      <c r="K55" s="46">
        <f t="shared" si="6"/>
        <v>7709.9997215999992</v>
      </c>
      <c r="L55" s="46">
        <f t="shared" si="6"/>
        <v>7709.9997215999992</v>
      </c>
      <c r="M55" s="46">
        <f t="shared" si="6"/>
        <v>7709.9997215999992</v>
      </c>
      <c r="N55" s="122">
        <f t="shared" si="6"/>
        <v>7709.9997215999992</v>
      </c>
      <c r="O55" s="620"/>
    </row>
    <row r="56" spans="1:15" ht="22.5" customHeight="1" x14ac:dyDescent="0.2">
      <c r="B56" s="615" t="s">
        <v>325</v>
      </c>
      <c r="C56" s="23" t="s">
        <v>321</v>
      </c>
      <c r="D56" s="46">
        <f>(D54*44/28)</f>
        <v>6883.9283228571421</v>
      </c>
      <c r="E56" s="46">
        <f t="shared" ref="E56:N56" si="7">(E54*44/28)</f>
        <v>6883.9283228571421</v>
      </c>
      <c r="F56" s="46">
        <f t="shared" si="7"/>
        <v>6883.9283228571421</v>
      </c>
      <c r="G56" s="46">
        <f t="shared" si="7"/>
        <v>6883.9283228571421</v>
      </c>
      <c r="H56" s="46">
        <f t="shared" si="7"/>
        <v>6883.9283228571421</v>
      </c>
      <c r="I56" s="46">
        <f t="shared" si="7"/>
        <v>6883.9283228571421</v>
      </c>
      <c r="J56" s="46">
        <f t="shared" si="7"/>
        <v>6883.9283228571421</v>
      </c>
      <c r="K56" s="46">
        <f t="shared" si="7"/>
        <v>6883.9283228571421</v>
      </c>
      <c r="L56" s="46">
        <f t="shared" si="7"/>
        <v>6883.9283228571421</v>
      </c>
      <c r="M56" s="46">
        <f t="shared" si="7"/>
        <v>6883.9283228571421</v>
      </c>
      <c r="N56" s="122">
        <f t="shared" si="7"/>
        <v>6883.9283228571421</v>
      </c>
      <c r="O56" s="620"/>
    </row>
    <row r="57" spans="1:15" ht="22.5" customHeight="1" x14ac:dyDescent="0.2">
      <c r="B57" s="615" t="s">
        <v>326</v>
      </c>
      <c r="C57" s="23" t="s">
        <v>321</v>
      </c>
      <c r="D57" s="46">
        <f>D55*44/28</f>
        <v>12115.71384822857</v>
      </c>
      <c r="E57" s="46">
        <f t="shared" ref="E57:N57" si="8">E55*44/28</f>
        <v>12115.71384822857</v>
      </c>
      <c r="F57" s="46">
        <f t="shared" si="8"/>
        <v>12115.71384822857</v>
      </c>
      <c r="G57" s="46">
        <f t="shared" si="8"/>
        <v>12115.71384822857</v>
      </c>
      <c r="H57" s="46">
        <f t="shared" si="8"/>
        <v>12115.71384822857</v>
      </c>
      <c r="I57" s="46">
        <f t="shared" si="8"/>
        <v>12115.71384822857</v>
      </c>
      <c r="J57" s="46">
        <f t="shared" si="8"/>
        <v>12115.71384822857</v>
      </c>
      <c r="K57" s="46">
        <f t="shared" si="8"/>
        <v>12115.71384822857</v>
      </c>
      <c r="L57" s="46">
        <f t="shared" si="8"/>
        <v>12115.71384822857</v>
      </c>
      <c r="M57" s="46">
        <f t="shared" si="8"/>
        <v>12115.71384822857</v>
      </c>
      <c r="N57" s="122">
        <f t="shared" si="8"/>
        <v>12115.71384822857</v>
      </c>
      <c r="O57" s="620"/>
    </row>
    <row r="58" spans="1:15" ht="24" customHeight="1" x14ac:dyDescent="0.2">
      <c r="B58" s="618" t="s">
        <v>327</v>
      </c>
      <c r="C58" s="102"/>
      <c r="D58" s="103"/>
      <c r="E58" s="103"/>
      <c r="F58" s="103"/>
      <c r="G58" s="103"/>
      <c r="H58" s="103"/>
      <c r="I58" s="103"/>
      <c r="J58" s="103"/>
      <c r="K58" s="103"/>
      <c r="L58" s="103"/>
      <c r="M58" s="103"/>
      <c r="N58" s="121"/>
      <c r="O58" s="619"/>
    </row>
    <row r="59" spans="1:15" ht="18" x14ac:dyDescent="0.2">
      <c r="B59" s="615" t="s">
        <v>320</v>
      </c>
      <c r="C59" s="106" t="s">
        <v>164</v>
      </c>
      <c r="D59" s="105">
        <f>(D52*265)/10^6</f>
        <v>12.161606703714286</v>
      </c>
      <c r="E59" s="105">
        <f t="shared" ref="E59:N59" si="9">(E52*265)/10^6</f>
        <v>12.161606703714286</v>
      </c>
      <c r="F59" s="105">
        <f t="shared" si="9"/>
        <v>12.161606703714286</v>
      </c>
      <c r="G59" s="105">
        <f t="shared" si="9"/>
        <v>12.161606703714286</v>
      </c>
      <c r="H59" s="105">
        <f t="shared" si="9"/>
        <v>12.161606703714286</v>
      </c>
      <c r="I59" s="105">
        <f t="shared" si="9"/>
        <v>12.161606703714286</v>
      </c>
      <c r="J59" s="105">
        <f t="shared" si="9"/>
        <v>12.161606703714286</v>
      </c>
      <c r="K59" s="105">
        <f t="shared" si="9"/>
        <v>12.161606703714286</v>
      </c>
      <c r="L59" s="105">
        <f t="shared" si="9"/>
        <v>12.161606703714286</v>
      </c>
      <c r="M59" s="105">
        <f t="shared" si="9"/>
        <v>12.161606703714286</v>
      </c>
      <c r="N59" s="105">
        <f t="shared" si="9"/>
        <v>12.161606703714286</v>
      </c>
      <c r="O59" s="621"/>
    </row>
    <row r="60" spans="1:15" ht="22.5" customHeight="1" x14ac:dyDescent="0.2">
      <c r="B60" s="615" t="s">
        <v>325</v>
      </c>
      <c r="C60" s="106" t="s">
        <v>164</v>
      </c>
      <c r="D60" s="105">
        <f>(D56*265)/10^6</f>
        <v>1.8242410055571427</v>
      </c>
      <c r="E60" s="105">
        <f t="shared" ref="E60:N60" si="10">(E56*265)/10^6</f>
        <v>1.8242410055571427</v>
      </c>
      <c r="F60" s="105">
        <f t="shared" si="10"/>
        <v>1.8242410055571427</v>
      </c>
      <c r="G60" s="105">
        <f t="shared" si="10"/>
        <v>1.8242410055571427</v>
      </c>
      <c r="H60" s="105">
        <f t="shared" si="10"/>
        <v>1.8242410055571427</v>
      </c>
      <c r="I60" s="105">
        <f t="shared" si="10"/>
        <v>1.8242410055571427</v>
      </c>
      <c r="J60" s="105">
        <f t="shared" si="10"/>
        <v>1.8242410055571427</v>
      </c>
      <c r="K60" s="105">
        <f t="shared" si="10"/>
        <v>1.8242410055571427</v>
      </c>
      <c r="L60" s="105">
        <f t="shared" si="10"/>
        <v>1.8242410055571427</v>
      </c>
      <c r="M60" s="105">
        <f t="shared" si="10"/>
        <v>1.8242410055571427</v>
      </c>
      <c r="N60" s="105">
        <f t="shared" si="10"/>
        <v>1.8242410055571427</v>
      </c>
      <c r="O60" s="621"/>
    </row>
    <row r="61" spans="1:15" ht="22.5" customHeight="1" x14ac:dyDescent="0.2">
      <c r="B61" s="615" t="s">
        <v>326</v>
      </c>
      <c r="C61" s="106" t="s">
        <v>164</v>
      </c>
      <c r="D61" s="105">
        <f>(D57*265)/10^6</f>
        <v>3.2106641697805709</v>
      </c>
      <c r="E61" s="105">
        <f t="shared" ref="E61:N61" si="11">(E57*265)/10^6</f>
        <v>3.2106641697805709</v>
      </c>
      <c r="F61" s="105">
        <f t="shared" si="11"/>
        <v>3.2106641697805709</v>
      </c>
      <c r="G61" s="105">
        <f t="shared" si="11"/>
        <v>3.2106641697805709</v>
      </c>
      <c r="H61" s="105">
        <f t="shared" si="11"/>
        <v>3.2106641697805709</v>
      </c>
      <c r="I61" s="105">
        <f t="shared" si="11"/>
        <v>3.2106641697805709</v>
      </c>
      <c r="J61" s="105">
        <f t="shared" si="11"/>
        <v>3.2106641697805709</v>
      </c>
      <c r="K61" s="105">
        <f t="shared" si="11"/>
        <v>3.2106641697805709</v>
      </c>
      <c r="L61" s="105">
        <f t="shared" si="11"/>
        <v>3.2106641697805709</v>
      </c>
      <c r="M61" s="105">
        <f t="shared" si="11"/>
        <v>3.2106641697805709</v>
      </c>
      <c r="N61" s="105">
        <f t="shared" si="11"/>
        <v>3.2106641697805709</v>
      </c>
      <c r="O61" s="621"/>
    </row>
    <row r="62" spans="1:15" ht="19" thickBot="1" x14ac:dyDescent="0.25">
      <c r="B62" s="622" t="s">
        <v>328</v>
      </c>
      <c r="C62" s="623" t="s">
        <v>329</v>
      </c>
      <c r="D62" s="624">
        <f>SUM(D59:D61)</f>
        <v>17.196511879052</v>
      </c>
      <c r="E62" s="624">
        <f t="shared" ref="E62:N62" si="12">SUM(E59:E61)</f>
        <v>17.196511879052</v>
      </c>
      <c r="F62" s="624">
        <f t="shared" si="12"/>
        <v>17.196511879052</v>
      </c>
      <c r="G62" s="624">
        <f t="shared" si="12"/>
        <v>17.196511879052</v>
      </c>
      <c r="H62" s="624">
        <f t="shared" si="12"/>
        <v>17.196511879052</v>
      </c>
      <c r="I62" s="624">
        <f t="shared" si="12"/>
        <v>17.196511879052</v>
      </c>
      <c r="J62" s="624">
        <f t="shared" si="12"/>
        <v>17.196511879052</v>
      </c>
      <c r="K62" s="624">
        <f t="shared" si="12"/>
        <v>17.196511879052</v>
      </c>
      <c r="L62" s="624">
        <f t="shared" si="12"/>
        <v>17.196511879052</v>
      </c>
      <c r="M62" s="624">
        <f t="shared" si="12"/>
        <v>17.196511879052</v>
      </c>
      <c r="N62" s="625">
        <f t="shared" si="12"/>
        <v>17.196511879052</v>
      </c>
      <c r="O62" s="626"/>
    </row>
    <row r="63" spans="1:15" customFormat="1" ht="17" thickBot="1" x14ac:dyDescent="0.25"/>
    <row r="64" spans="1:15" ht="19" thickBot="1" x14ac:dyDescent="0.25">
      <c r="B64" s="627" t="s">
        <v>175</v>
      </c>
      <c r="C64" s="607" t="s">
        <v>329</v>
      </c>
      <c r="D64" s="628">
        <f t="shared" ref="D64:M64" si="13">D62</f>
        <v>17.196511879052</v>
      </c>
      <c r="E64" s="628">
        <f t="shared" si="13"/>
        <v>17.196511879052</v>
      </c>
      <c r="F64" s="628">
        <f t="shared" si="13"/>
        <v>17.196511879052</v>
      </c>
      <c r="G64" s="628">
        <f t="shared" si="13"/>
        <v>17.196511879052</v>
      </c>
      <c r="H64" s="628">
        <f t="shared" si="13"/>
        <v>17.196511879052</v>
      </c>
      <c r="I64" s="628">
        <f t="shared" si="13"/>
        <v>17.196511879052</v>
      </c>
      <c r="J64" s="628">
        <f t="shared" si="13"/>
        <v>17.196511879052</v>
      </c>
      <c r="K64" s="628">
        <f t="shared" si="13"/>
        <v>17.196511879052</v>
      </c>
      <c r="L64" s="628">
        <f t="shared" si="13"/>
        <v>17.196511879052</v>
      </c>
      <c r="M64" s="628">
        <f t="shared" si="13"/>
        <v>17.196511879052</v>
      </c>
      <c r="N64" s="629">
        <f>N62</f>
        <v>17.196511879052</v>
      </c>
      <c r="O64" s="630"/>
    </row>
    <row r="65" spans="1:16" x14ac:dyDescent="0.2">
      <c r="B65" s="50"/>
      <c r="C65" s="51"/>
      <c r="D65" s="51"/>
      <c r="E65" s="52"/>
      <c r="F65" s="52"/>
      <c r="G65" s="52"/>
      <c r="H65" s="53"/>
      <c r="J65" s="54"/>
      <c r="K65" s="54"/>
      <c r="M65" s="54"/>
      <c r="N65" s="26"/>
      <c r="O65" s="231"/>
    </row>
    <row r="66" spans="1:16" s="317" customFormat="1" ht="18" x14ac:dyDescent="0.2">
      <c r="A66" s="336">
        <v>4</v>
      </c>
      <c r="B66" s="346" t="s">
        <v>861</v>
      </c>
      <c r="C66" s="346"/>
      <c r="D66" s="346"/>
      <c r="E66" s="318"/>
      <c r="F66" s="318"/>
      <c r="G66" s="319"/>
      <c r="H66" s="320"/>
      <c r="I66" s="321"/>
      <c r="J66" s="322"/>
      <c r="K66" s="322"/>
      <c r="L66" s="321"/>
      <c r="M66" s="322"/>
      <c r="N66" s="323"/>
      <c r="O66" s="323"/>
    </row>
    <row r="67" spans="1:16" customFormat="1" ht="23.25" customHeight="1" x14ac:dyDescent="0.2">
      <c r="A67" s="1"/>
      <c r="B67" s="417" t="s">
        <v>836</v>
      </c>
      <c r="C67" s="417"/>
      <c r="D67" s="417"/>
      <c r="E67" s="417"/>
      <c r="F67" s="417"/>
      <c r="O67" s="18"/>
      <c r="P67" s="24"/>
    </row>
    <row r="68" spans="1:16" s="2" customFormat="1" ht="24.75" customHeight="1" thickBot="1" x14ac:dyDescent="0.25">
      <c r="A68" s="418"/>
      <c r="B68" s="417" t="s">
        <v>792</v>
      </c>
      <c r="O68" s="418"/>
    </row>
    <row r="69" spans="1:16" ht="19" thickBot="1" x14ac:dyDescent="0.25">
      <c r="B69" s="678" t="s">
        <v>125</v>
      </c>
      <c r="C69" s="674"/>
      <c r="D69" s="675"/>
      <c r="E69" s="676"/>
      <c r="F69" s="674"/>
      <c r="G69" s="676"/>
      <c r="H69" s="676"/>
      <c r="I69" s="676"/>
      <c r="J69" s="676"/>
      <c r="K69" s="676"/>
      <c r="L69" s="676"/>
      <c r="M69" s="676"/>
      <c r="N69" s="676"/>
      <c r="O69" s="677"/>
    </row>
    <row r="70" spans="1:16" customFormat="1" ht="17" thickBot="1" x14ac:dyDescent="0.25"/>
    <row r="71" spans="1:16" s="9" customFormat="1" ht="17" x14ac:dyDescent="0.2">
      <c r="B71" s="608"/>
      <c r="C71" s="609" t="s">
        <v>126</v>
      </c>
      <c r="D71" s="609" t="s">
        <v>120</v>
      </c>
      <c r="E71" s="609" t="s">
        <v>146</v>
      </c>
      <c r="F71" s="609" t="s">
        <v>147</v>
      </c>
      <c r="G71" s="609" t="s">
        <v>148</v>
      </c>
      <c r="H71" s="609" t="s">
        <v>149</v>
      </c>
      <c r="I71" s="610" t="s">
        <v>150</v>
      </c>
      <c r="J71" s="609" t="s">
        <v>151</v>
      </c>
      <c r="K71" s="611" t="s">
        <v>152</v>
      </c>
      <c r="L71" s="611" t="s">
        <v>153</v>
      </c>
      <c r="M71" s="612" t="s">
        <v>154</v>
      </c>
      <c r="N71" s="679" t="s">
        <v>121</v>
      </c>
      <c r="O71" s="614" t="s">
        <v>155</v>
      </c>
    </row>
    <row r="72" spans="1:16" s="42" customFormat="1" ht="18.75" customHeight="1" x14ac:dyDescent="0.2">
      <c r="B72" s="615" t="s">
        <v>314</v>
      </c>
      <c r="C72" s="23" t="s">
        <v>315</v>
      </c>
      <c r="D72" s="46">
        <f>G40</f>
        <v>2920454.44</v>
      </c>
      <c r="E72" s="67">
        <f t="shared" ref="E72:N72" si="14">$D72-E74</f>
        <v>2920454.44</v>
      </c>
      <c r="F72" s="67">
        <f t="shared" si="14"/>
        <v>2920454.44</v>
      </c>
      <c r="G72" s="67">
        <f t="shared" si="14"/>
        <v>2873727.1689599999</v>
      </c>
      <c r="H72" s="67">
        <f t="shared" si="14"/>
        <v>2824079.4434799999</v>
      </c>
      <c r="I72" s="67">
        <f t="shared" si="14"/>
        <v>2774431.7179999999</v>
      </c>
      <c r="J72" s="67">
        <f t="shared" si="14"/>
        <v>2657613.5403999998</v>
      </c>
      <c r="K72" s="67">
        <f t="shared" si="14"/>
        <v>2540795.3627999998</v>
      </c>
      <c r="L72" s="67">
        <f t="shared" si="14"/>
        <v>2423977.1851999997</v>
      </c>
      <c r="M72" s="67">
        <f t="shared" si="14"/>
        <v>2307159.0076000001</v>
      </c>
      <c r="N72" s="114">
        <f t="shared" si="14"/>
        <v>2190340.83</v>
      </c>
      <c r="O72" s="620"/>
    </row>
    <row r="73" spans="1:16" s="42" customFormat="1" ht="79.5" customHeight="1" x14ac:dyDescent="0.2">
      <c r="B73" s="680" t="s">
        <v>330</v>
      </c>
      <c r="C73" s="266" t="s">
        <v>170</v>
      </c>
      <c r="D73" s="267"/>
      <c r="E73" s="268"/>
      <c r="F73" s="268"/>
      <c r="G73" s="269">
        <v>1.6E-2</v>
      </c>
      <c r="H73" s="269">
        <v>3.3000000000000002E-2</v>
      </c>
      <c r="I73" s="269">
        <v>0.05</v>
      </c>
      <c r="J73" s="269">
        <v>0.09</v>
      </c>
      <c r="K73" s="269">
        <v>0.13</v>
      </c>
      <c r="L73" s="269">
        <v>0.17</v>
      </c>
      <c r="M73" s="269">
        <v>0.21</v>
      </c>
      <c r="N73" s="270">
        <v>0.25</v>
      </c>
      <c r="O73" s="681" t="s">
        <v>331</v>
      </c>
    </row>
    <row r="74" spans="1:16" s="42" customFormat="1" ht="29.25" customHeight="1" x14ac:dyDescent="0.2">
      <c r="B74" s="615" t="s">
        <v>316</v>
      </c>
      <c r="C74" s="23" t="s">
        <v>315</v>
      </c>
      <c r="D74" s="68">
        <f>$D72*0.25/10*0</f>
        <v>0</v>
      </c>
      <c r="E74" s="68">
        <f>D72*0.25/10*0</f>
        <v>0</v>
      </c>
      <c r="F74" s="68">
        <f>D72*0.25/10*0</f>
        <v>0</v>
      </c>
      <c r="G74" s="67">
        <f>D72*G73</f>
        <v>46727.27104</v>
      </c>
      <c r="H74" s="67">
        <f>D72*H73</f>
        <v>96374.996520000001</v>
      </c>
      <c r="I74" s="67">
        <f>D72*I73</f>
        <v>146022.72200000001</v>
      </c>
      <c r="J74" s="67">
        <f>D72*J73</f>
        <v>262840.8996</v>
      </c>
      <c r="K74" s="67">
        <f>D72*K73</f>
        <v>379659.0772</v>
      </c>
      <c r="L74" s="67">
        <f>D72*L73</f>
        <v>496477.25480000005</v>
      </c>
      <c r="M74" s="67">
        <f>D72*M73</f>
        <v>613295.43239999993</v>
      </c>
      <c r="N74" s="114">
        <f>D72*N73</f>
        <v>730113.61</v>
      </c>
      <c r="O74" s="620"/>
    </row>
    <row r="75" spans="1:16" ht="19.5" customHeight="1" x14ac:dyDescent="0.2">
      <c r="B75" s="618" t="s">
        <v>317</v>
      </c>
      <c r="C75" s="102"/>
      <c r="D75" s="103"/>
      <c r="E75" s="103"/>
      <c r="F75" s="103"/>
      <c r="G75" s="103"/>
      <c r="H75" s="103"/>
      <c r="I75" s="103"/>
      <c r="J75" s="103"/>
      <c r="K75" s="103"/>
      <c r="L75" s="103"/>
      <c r="M75" s="103"/>
      <c r="N75" s="104"/>
      <c r="O75" s="619"/>
    </row>
    <row r="76" spans="1:16" ht="18" x14ac:dyDescent="0.2">
      <c r="B76" s="615" t="s">
        <v>318</v>
      </c>
      <c r="C76" s="23" t="s">
        <v>319</v>
      </c>
      <c r="D76" s="46">
        <f t="shared" ref="D76:N76" si="15">(D72*$C26)+(D74*$D26)</f>
        <v>29204.544399999999</v>
      </c>
      <c r="E76" s="46">
        <f t="shared" si="15"/>
        <v>29204.544399999999</v>
      </c>
      <c r="F76" s="46">
        <f t="shared" si="15"/>
        <v>29204.544399999999</v>
      </c>
      <c r="G76" s="46">
        <f t="shared" si="15"/>
        <v>28928.853500863999</v>
      </c>
      <c r="H76" s="46">
        <f t="shared" si="15"/>
        <v>28635.931920531999</v>
      </c>
      <c r="I76" s="46">
        <f t="shared" si="15"/>
        <v>28343.010340199999</v>
      </c>
      <c r="J76" s="46">
        <f t="shared" si="15"/>
        <v>27653.783092360001</v>
      </c>
      <c r="K76" s="46">
        <f t="shared" si="15"/>
        <v>26964.55584452</v>
      </c>
      <c r="L76" s="46">
        <f t="shared" si="15"/>
        <v>26275.328596679999</v>
      </c>
      <c r="M76" s="46">
        <f t="shared" si="15"/>
        <v>25586.101348839999</v>
      </c>
      <c r="N76" s="47">
        <f t="shared" si="15"/>
        <v>24896.874101000001</v>
      </c>
      <c r="O76" s="620"/>
    </row>
    <row r="77" spans="1:16" ht="24.75" customHeight="1" x14ac:dyDescent="0.2">
      <c r="B77" s="615" t="s">
        <v>320</v>
      </c>
      <c r="C77" s="23" t="s">
        <v>321</v>
      </c>
      <c r="D77" s="46">
        <f>D76*44/28</f>
        <v>45892.855485714281</v>
      </c>
      <c r="E77" s="46">
        <f t="shared" ref="E77" si="16">E76*44/28</f>
        <v>45892.855485714281</v>
      </c>
      <c r="F77" s="46">
        <f t="shared" ref="F77" si="17">F76*44/28</f>
        <v>45892.855485714281</v>
      </c>
      <c r="G77" s="46">
        <f t="shared" ref="G77" si="18">G76*44/28</f>
        <v>45459.626929929138</v>
      </c>
      <c r="H77" s="46">
        <f t="shared" ref="H77" si="19">H76*44/28</f>
        <v>44999.321589407431</v>
      </c>
      <c r="I77" s="46">
        <f t="shared" ref="I77" si="20">I76*44/28</f>
        <v>44539.01624888571</v>
      </c>
      <c r="J77" s="46">
        <f t="shared" ref="J77" si="21">J76*44/28</f>
        <v>43455.94485942286</v>
      </c>
      <c r="K77" s="46">
        <f t="shared" ref="K77" si="22">K76*44/28</f>
        <v>42372.873469960003</v>
      </c>
      <c r="L77" s="46">
        <f t="shared" ref="L77" si="23">L76*44/28</f>
        <v>41289.802080497146</v>
      </c>
      <c r="M77" s="46">
        <f t="shared" ref="M77" si="24">M76*44/28</f>
        <v>40206.730691034281</v>
      </c>
      <c r="N77" s="47">
        <f t="shared" ref="N77" si="25">N76*44/28</f>
        <v>39123.659301571432</v>
      </c>
      <c r="O77" s="620"/>
    </row>
    <row r="78" spans="1:16" ht="19.5" customHeight="1" x14ac:dyDescent="0.2">
      <c r="B78" s="618" t="s">
        <v>322</v>
      </c>
      <c r="C78" s="102"/>
      <c r="D78" s="103"/>
      <c r="E78" s="103"/>
      <c r="F78" s="103"/>
      <c r="G78" s="103"/>
      <c r="H78" s="103"/>
      <c r="I78" s="103"/>
      <c r="J78" s="103"/>
      <c r="K78" s="103"/>
      <c r="L78" s="103"/>
      <c r="M78" s="103"/>
      <c r="N78" s="104"/>
      <c r="O78" s="619"/>
    </row>
    <row r="79" spans="1:16" ht="18" x14ac:dyDescent="0.2">
      <c r="B79" s="615" t="s">
        <v>323</v>
      </c>
      <c r="C79" s="23" t="s">
        <v>319</v>
      </c>
      <c r="D79" s="46">
        <f t="shared" ref="D79:N79" si="26">$G$40*$D$29*$D$27</f>
        <v>4380.6816600000002</v>
      </c>
      <c r="E79" s="46">
        <f t="shared" si="26"/>
        <v>4380.6816600000002</v>
      </c>
      <c r="F79" s="46">
        <f t="shared" si="26"/>
        <v>4380.6816600000002</v>
      </c>
      <c r="G79" s="46">
        <f t="shared" si="26"/>
        <v>4380.6816600000002</v>
      </c>
      <c r="H79" s="46">
        <f t="shared" si="26"/>
        <v>4380.6816600000002</v>
      </c>
      <c r="I79" s="46">
        <f t="shared" si="26"/>
        <v>4380.6816600000002</v>
      </c>
      <c r="J79" s="46">
        <f t="shared" si="26"/>
        <v>4380.6816600000002</v>
      </c>
      <c r="K79" s="46">
        <f t="shared" si="26"/>
        <v>4380.6816600000002</v>
      </c>
      <c r="L79" s="46">
        <f t="shared" si="26"/>
        <v>4380.6816600000002</v>
      </c>
      <c r="M79" s="46">
        <f t="shared" si="26"/>
        <v>4380.6816600000002</v>
      </c>
      <c r="N79" s="47">
        <f t="shared" si="26"/>
        <v>4380.6816600000002</v>
      </c>
      <c r="O79" s="620"/>
    </row>
    <row r="80" spans="1:16" ht="18" x14ac:dyDescent="0.2">
      <c r="B80" s="615" t="s">
        <v>324</v>
      </c>
      <c r="C80" s="23" t="s">
        <v>319</v>
      </c>
      <c r="D80" s="46">
        <f t="shared" ref="D80:N80" si="27">$G$40*$D$28*$D$30</f>
        <v>7709.9997215999992</v>
      </c>
      <c r="E80" s="46">
        <f t="shared" si="27"/>
        <v>7709.9997215999992</v>
      </c>
      <c r="F80" s="46">
        <f t="shared" si="27"/>
        <v>7709.9997215999992</v>
      </c>
      <c r="G80" s="46">
        <f t="shared" si="27"/>
        <v>7709.9997215999992</v>
      </c>
      <c r="H80" s="46">
        <f t="shared" si="27"/>
        <v>7709.9997215999992</v>
      </c>
      <c r="I80" s="46">
        <f t="shared" si="27"/>
        <v>7709.9997215999992</v>
      </c>
      <c r="J80" s="46">
        <f t="shared" si="27"/>
        <v>7709.9997215999992</v>
      </c>
      <c r="K80" s="46">
        <f t="shared" si="27"/>
        <v>7709.9997215999992</v>
      </c>
      <c r="L80" s="46">
        <f t="shared" si="27"/>
        <v>7709.9997215999992</v>
      </c>
      <c r="M80" s="46">
        <f t="shared" si="27"/>
        <v>7709.9997215999992</v>
      </c>
      <c r="N80" s="47">
        <f t="shared" si="27"/>
        <v>7709.9997215999992</v>
      </c>
      <c r="O80" s="620"/>
    </row>
    <row r="81" spans="2:15" ht="22.5" customHeight="1" x14ac:dyDescent="0.2">
      <c r="B81" s="615" t="s">
        <v>325</v>
      </c>
      <c r="C81" s="23" t="s">
        <v>321</v>
      </c>
      <c r="D81" s="46">
        <f>(D79*44/28)</f>
        <v>6883.928322857143</v>
      </c>
      <c r="E81" s="46">
        <f t="shared" ref="E81:N81" si="28">(E79*44/28)</f>
        <v>6883.928322857143</v>
      </c>
      <c r="F81" s="46">
        <f t="shared" si="28"/>
        <v>6883.928322857143</v>
      </c>
      <c r="G81" s="46">
        <f t="shared" si="28"/>
        <v>6883.928322857143</v>
      </c>
      <c r="H81" s="46">
        <f t="shared" si="28"/>
        <v>6883.928322857143</v>
      </c>
      <c r="I81" s="46">
        <f t="shared" si="28"/>
        <v>6883.928322857143</v>
      </c>
      <c r="J81" s="46">
        <f t="shared" si="28"/>
        <v>6883.928322857143</v>
      </c>
      <c r="K81" s="46">
        <f t="shared" si="28"/>
        <v>6883.928322857143</v>
      </c>
      <c r="L81" s="46">
        <f t="shared" si="28"/>
        <v>6883.928322857143</v>
      </c>
      <c r="M81" s="46">
        <f t="shared" si="28"/>
        <v>6883.928322857143</v>
      </c>
      <c r="N81" s="47">
        <f t="shared" si="28"/>
        <v>6883.928322857143</v>
      </c>
      <c r="O81" s="620"/>
    </row>
    <row r="82" spans="2:15" ht="22.5" customHeight="1" x14ac:dyDescent="0.2">
      <c r="B82" s="615" t="s">
        <v>326</v>
      </c>
      <c r="C82" s="23" t="s">
        <v>321</v>
      </c>
      <c r="D82" s="46">
        <f>D80*44/28</f>
        <v>12115.71384822857</v>
      </c>
      <c r="E82" s="46">
        <f t="shared" ref="E82:N82" si="29">E80*44/28</f>
        <v>12115.71384822857</v>
      </c>
      <c r="F82" s="46">
        <f t="shared" si="29"/>
        <v>12115.71384822857</v>
      </c>
      <c r="G82" s="46">
        <f t="shared" si="29"/>
        <v>12115.71384822857</v>
      </c>
      <c r="H82" s="46">
        <f t="shared" si="29"/>
        <v>12115.71384822857</v>
      </c>
      <c r="I82" s="46">
        <f t="shared" si="29"/>
        <v>12115.71384822857</v>
      </c>
      <c r="J82" s="46">
        <f t="shared" si="29"/>
        <v>12115.71384822857</v>
      </c>
      <c r="K82" s="46">
        <f t="shared" si="29"/>
        <v>12115.71384822857</v>
      </c>
      <c r="L82" s="46">
        <f t="shared" si="29"/>
        <v>12115.71384822857</v>
      </c>
      <c r="M82" s="46">
        <f t="shared" si="29"/>
        <v>12115.71384822857</v>
      </c>
      <c r="N82" s="47">
        <f t="shared" si="29"/>
        <v>12115.71384822857</v>
      </c>
      <c r="O82" s="620"/>
    </row>
    <row r="83" spans="2:15" ht="24" customHeight="1" x14ac:dyDescent="0.2">
      <c r="B83" s="618" t="s">
        <v>327</v>
      </c>
      <c r="C83" s="102"/>
      <c r="D83" s="103"/>
      <c r="E83" s="103"/>
      <c r="F83" s="103"/>
      <c r="G83" s="103"/>
      <c r="H83" s="103"/>
      <c r="I83" s="103"/>
      <c r="J83" s="103"/>
      <c r="K83" s="103"/>
      <c r="L83" s="103"/>
      <c r="M83" s="103"/>
      <c r="N83" s="104"/>
      <c r="O83" s="619"/>
    </row>
    <row r="84" spans="2:15" ht="18" x14ac:dyDescent="0.2">
      <c r="B84" s="615" t="s">
        <v>320</v>
      </c>
      <c r="C84" s="106" t="s">
        <v>164</v>
      </c>
      <c r="D84" s="105">
        <f>(D77*265)/10^6</f>
        <v>12.161606703714286</v>
      </c>
      <c r="E84" s="105">
        <f t="shared" ref="E84:N84" si="30">(E77*265)/10^6</f>
        <v>12.161606703714286</v>
      </c>
      <c r="F84" s="105">
        <f t="shared" si="30"/>
        <v>12.161606703714286</v>
      </c>
      <c r="G84" s="105">
        <f t="shared" si="30"/>
        <v>12.04680113643122</v>
      </c>
      <c r="H84" s="105">
        <f t="shared" si="30"/>
        <v>11.924820221192968</v>
      </c>
      <c r="I84" s="105">
        <f t="shared" si="30"/>
        <v>11.802839305954713</v>
      </c>
      <c r="J84" s="105">
        <f t="shared" si="30"/>
        <v>11.515825387747059</v>
      </c>
      <c r="K84" s="105">
        <f t="shared" si="30"/>
        <v>11.2288114695394</v>
      </c>
      <c r="L84" s="105">
        <f t="shared" si="30"/>
        <v>10.941797551331744</v>
      </c>
      <c r="M84" s="105">
        <f t="shared" si="30"/>
        <v>10.654783633124085</v>
      </c>
      <c r="N84" s="105">
        <f t="shared" si="30"/>
        <v>10.367769714916429</v>
      </c>
      <c r="O84" s="621"/>
    </row>
    <row r="85" spans="2:15" ht="22.5" customHeight="1" x14ac:dyDescent="0.2">
      <c r="B85" s="615" t="s">
        <v>325</v>
      </c>
      <c r="C85" s="106" t="s">
        <v>164</v>
      </c>
      <c r="D85" s="105">
        <f>(D81*265)/10^6</f>
        <v>1.824241005557143</v>
      </c>
      <c r="E85" s="105">
        <f t="shared" ref="E85:N85" si="31">(E81*265)/10^6</f>
        <v>1.824241005557143</v>
      </c>
      <c r="F85" s="105">
        <f t="shared" si="31"/>
        <v>1.824241005557143</v>
      </c>
      <c r="G85" s="105">
        <f t="shared" si="31"/>
        <v>1.824241005557143</v>
      </c>
      <c r="H85" s="105">
        <f t="shared" si="31"/>
        <v>1.824241005557143</v>
      </c>
      <c r="I85" s="105">
        <f t="shared" si="31"/>
        <v>1.824241005557143</v>
      </c>
      <c r="J85" s="105">
        <f t="shared" si="31"/>
        <v>1.824241005557143</v>
      </c>
      <c r="K85" s="105">
        <f t="shared" si="31"/>
        <v>1.824241005557143</v>
      </c>
      <c r="L85" s="105">
        <f t="shared" si="31"/>
        <v>1.824241005557143</v>
      </c>
      <c r="M85" s="105">
        <f t="shared" si="31"/>
        <v>1.824241005557143</v>
      </c>
      <c r="N85" s="105">
        <f t="shared" si="31"/>
        <v>1.824241005557143</v>
      </c>
      <c r="O85" s="621"/>
    </row>
    <row r="86" spans="2:15" ht="22.5" customHeight="1" x14ac:dyDescent="0.2">
      <c r="B86" s="615" t="s">
        <v>326</v>
      </c>
      <c r="C86" s="106" t="s">
        <v>164</v>
      </c>
      <c r="D86" s="105">
        <f>(D82*265)/10^6</f>
        <v>3.2106641697805709</v>
      </c>
      <c r="E86" s="105">
        <f t="shared" ref="E86:N86" si="32">(E82*265)/10^6</f>
        <v>3.2106641697805709</v>
      </c>
      <c r="F86" s="105">
        <f t="shared" si="32"/>
        <v>3.2106641697805709</v>
      </c>
      <c r="G86" s="105">
        <f t="shared" si="32"/>
        <v>3.2106641697805709</v>
      </c>
      <c r="H86" s="105">
        <f t="shared" si="32"/>
        <v>3.2106641697805709</v>
      </c>
      <c r="I86" s="105">
        <f t="shared" si="32"/>
        <v>3.2106641697805709</v>
      </c>
      <c r="J86" s="105">
        <f t="shared" si="32"/>
        <v>3.2106641697805709</v>
      </c>
      <c r="K86" s="105">
        <f t="shared" si="32"/>
        <v>3.2106641697805709</v>
      </c>
      <c r="L86" s="105">
        <f t="shared" si="32"/>
        <v>3.2106641697805709</v>
      </c>
      <c r="M86" s="105">
        <f t="shared" si="32"/>
        <v>3.2106641697805709</v>
      </c>
      <c r="N86" s="105">
        <f t="shared" si="32"/>
        <v>3.2106641697805709</v>
      </c>
      <c r="O86" s="621"/>
    </row>
    <row r="87" spans="2:15" ht="19" thickBot="1" x14ac:dyDescent="0.25">
      <c r="B87" s="622" t="s">
        <v>328</v>
      </c>
      <c r="C87" s="623" t="s">
        <v>329</v>
      </c>
      <c r="D87" s="624">
        <f t="shared" ref="D87:N87" si="33">SUM(D84:D86)</f>
        <v>17.196511879052</v>
      </c>
      <c r="E87" s="624">
        <f t="shared" si="33"/>
        <v>17.196511879052</v>
      </c>
      <c r="F87" s="624">
        <f t="shared" si="33"/>
        <v>17.196511879052</v>
      </c>
      <c r="G87" s="624">
        <f t="shared" si="33"/>
        <v>17.081706311768933</v>
      </c>
      <c r="H87" s="624">
        <f t="shared" si="33"/>
        <v>16.959725396530683</v>
      </c>
      <c r="I87" s="624">
        <f t="shared" si="33"/>
        <v>16.837744481292425</v>
      </c>
      <c r="J87" s="624">
        <f t="shared" si="33"/>
        <v>16.550730563084773</v>
      </c>
      <c r="K87" s="624">
        <f t="shared" si="33"/>
        <v>16.263716644877114</v>
      </c>
      <c r="L87" s="624">
        <f t="shared" si="33"/>
        <v>15.976702726669458</v>
      </c>
      <c r="M87" s="624">
        <f t="shared" si="33"/>
        <v>15.689688808461799</v>
      </c>
      <c r="N87" s="682">
        <f t="shared" si="33"/>
        <v>15.402674890254143</v>
      </c>
      <c r="O87" s="626"/>
    </row>
    <row r="88" spans="2:15" ht="17" thickBot="1" x14ac:dyDescent="0.25">
      <c r="B88" s="686"/>
      <c r="C88" s="116"/>
      <c r="D88" s="117"/>
      <c r="E88" s="107"/>
      <c r="F88" s="117"/>
      <c r="G88" s="107"/>
      <c r="H88" s="118"/>
      <c r="I88" s="117"/>
      <c r="J88" s="107"/>
      <c r="K88" s="118"/>
      <c r="L88" s="118"/>
      <c r="M88" s="117"/>
      <c r="N88" s="683"/>
      <c r="O88" s="684"/>
    </row>
    <row r="89" spans="2:15" ht="19" thickBot="1" x14ac:dyDescent="0.25">
      <c r="B89" s="627" t="s">
        <v>629</v>
      </c>
      <c r="C89" s="607" t="s">
        <v>329</v>
      </c>
      <c r="D89" s="628">
        <f>D87</f>
        <v>17.196511879052</v>
      </c>
      <c r="E89" s="628">
        <f t="shared" ref="E89:N89" si="34">E87</f>
        <v>17.196511879052</v>
      </c>
      <c r="F89" s="628">
        <f t="shared" si="34"/>
        <v>17.196511879052</v>
      </c>
      <c r="G89" s="628">
        <f t="shared" si="34"/>
        <v>17.081706311768933</v>
      </c>
      <c r="H89" s="628">
        <f t="shared" si="34"/>
        <v>16.959725396530683</v>
      </c>
      <c r="I89" s="628">
        <f t="shared" si="34"/>
        <v>16.837744481292425</v>
      </c>
      <c r="J89" s="628">
        <f t="shared" si="34"/>
        <v>16.550730563084773</v>
      </c>
      <c r="K89" s="628">
        <f t="shared" si="34"/>
        <v>16.263716644877114</v>
      </c>
      <c r="L89" s="628">
        <f t="shared" si="34"/>
        <v>15.976702726669458</v>
      </c>
      <c r="M89" s="628">
        <f t="shared" si="34"/>
        <v>15.689688808461799</v>
      </c>
      <c r="N89" s="685">
        <f t="shared" si="34"/>
        <v>15.402674890254143</v>
      </c>
      <c r="O89" s="630"/>
    </row>
    <row r="90" spans="2:15" x14ac:dyDescent="0.2">
      <c r="B90" s="50"/>
      <c r="C90" s="51"/>
      <c r="D90" s="51"/>
      <c r="E90" s="52"/>
      <c r="F90" s="52"/>
      <c r="G90" s="52"/>
      <c r="H90" s="53"/>
      <c r="J90" s="54"/>
      <c r="K90" s="54"/>
      <c r="M90" s="54"/>
      <c r="N90" s="26"/>
      <c r="O90" s="231"/>
    </row>
    <row r="91" spans="2:15" ht="17" thickBot="1" x14ac:dyDescent="0.25">
      <c r="B91" s="50"/>
      <c r="C91" s="51"/>
      <c r="D91" s="51"/>
      <c r="E91" s="52"/>
      <c r="F91" s="52"/>
      <c r="G91" s="52"/>
      <c r="H91" s="53"/>
      <c r="J91" s="43"/>
      <c r="K91" s="54"/>
      <c r="M91" s="54"/>
      <c r="N91" s="26"/>
      <c r="O91" s="231"/>
    </row>
    <row r="92" spans="2:15" ht="19" thickBot="1" x14ac:dyDescent="0.25">
      <c r="B92" s="678" t="s">
        <v>305</v>
      </c>
      <c r="C92" s="674"/>
      <c r="D92" s="675"/>
      <c r="E92" s="676"/>
      <c r="F92" s="674"/>
      <c r="G92" s="676"/>
      <c r="H92" s="676"/>
      <c r="I92" s="676"/>
      <c r="J92" s="676"/>
      <c r="K92" s="676"/>
      <c r="L92" s="676"/>
      <c r="M92" s="687"/>
      <c r="N92" s="676"/>
      <c r="O92" s="677"/>
    </row>
    <row r="93" spans="2:15" customFormat="1" ht="17" thickBot="1" x14ac:dyDescent="0.25"/>
    <row r="94" spans="2:15" ht="17" x14ac:dyDescent="0.2">
      <c r="B94" s="608"/>
      <c r="C94" s="609" t="s">
        <v>126</v>
      </c>
      <c r="D94" s="609" t="s">
        <v>120</v>
      </c>
      <c r="E94" s="609" t="s">
        <v>146</v>
      </c>
      <c r="F94" s="609" t="s">
        <v>147</v>
      </c>
      <c r="G94" s="609" t="s">
        <v>148</v>
      </c>
      <c r="H94" s="609" t="s">
        <v>149</v>
      </c>
      <c r="I94" s="610" t="s">
        <v>150</v>
      </c>
      <c r="J94" s="609" t="s">
        <v>151</v>
      </c>
      <c r="K94" s="611" t="s">
        <v>152</v>
      </c>
      <c r="L94" s="611" t="s">
        <v>153</v>
      </c>
      <c r="M94" s="612" t="s">
        <v>154</v>
      </c>
      <c r="N94" s="679" t="s">
        <v>121</v>
      </c>
      <c r="O94" s="614" t="s">
        <v>155</v>
      </c>
    </row>
    <row r="95" spans="2:15" ht="17.25" customHeight="1" x14ac:dyDescent="0.2">
      <c r="B95" s="615" t="s">
        <v>314</v>
      </c>
      <c r="C95" s="23" t="s">
        <v>315</v>
      </c>
      <c r="D95" s="48">
        <f>G40</f>
        <v>2920454.44</v>
      </c>
      <c r="E95" s="46">
        <f t="shared" ref="E95:N95" si="35">$D95-E97</f>
        <v>2920454.44</v>
      </c>
      <c r="F95" s="46">
        <f t="shared" si="35"/>
        <v>2920454.44</v>
      </c>
      <c r="G95" s="46">
        <f t="shared" si="35"/>
        <v>2824079.4434799999</v>
      </c>
      <c r="H95" s="46">
        <f t="shared" si="35"/>
        <v>2727704.4469599999</v>
      </c>
      <c r="I95" s="46">
        <f t="shared" si="35"/>
        <v>2628408.9959999998</v>
      </c>
      <c r="J95" s="46">
        <f t="shared" si="35"/>
        <v>2394772.6408000002</v>
      </c>
      <c r="K95" s="46">
        <f t="shared" si="35"/>
        <v>2161136.2856000001</v>
      </c>
      <c r="L95" s="46">
        <f t="shared" si="35"/>
        <v>1927499.9304</v>
      </c>
      <c r="M95" s="46">
        <f t="shared" si="35"/>
        <v>1693863.5752000001</v>
      </c>
      <c r="N95" s="47">
        <f t="shared" si="35"/>
        <v>1460227.22</v>
      </c>
      <c r="O95" s="620"/>
    </row>
    <row r="96" spans="2:15" ht="88.5" customHeight="1" x14ac:dyDescent="0.2">
      <c r="B96" s="680" t="s">
        <v>330</v>
      </c>
      <c r="C96" s="266" t="s">
        <v>170</v>
      </c>
      <c r="D96" s="232" t="s">
        <v>332</v>
      </c>
      <c r="E96" s="232" t="s">
        <v>332</v>
      </c>
      <c r="F96" s="232" t="s">
        <v>332</v>
      </c>
      <c r="G96" s="232">
        <v>3.3000000000000002E-2</v>
      </c>
      <c r="H96" s="232">
        <v>6.6000000000000003E-2</v>
      </c>
      <c r="I96" s="232">
        <v>0.1</v>
      </c>
      <c r="J96" s="232">
        <v>0.18</v>
      </c>
      <c r="K96" s="232">
        <v>0.26</v>
      </c>
      <c r="L96" s="232">
        <v>0.34</v>
      </c>
      <c r="M96" s="232">
        <v>0.42</v>
      </c>
      <c r="N96" s="233">
        <v>0.5</v>
      </c>
      <c r="O96" s="681" t="s">
        <v>333</v>
      </c>
    </row>
    <row r="97" spans="2:15" ht="17.25" customHeight="1" x14ac:dyDescent="0.2">
      <c r="B97" s="615" t="s">
        <v>316</v>
      </c>
      <c r="C97" s="23" t="s">
        <v>315</v>
      </c>
      <c r="D97" s="67">
        <f>$D95*0.5/10*0</f>
        <v>0</v>
      </c>
      <c r="E97" s="48">
        <f>$D95*0.5/10*0</f>
        <v>0</v>
      </c>
      <c r="F97" s="48">
        <f>$D95*0.5/10*0</f>
        <v>0</v>
      </c>
      <c r="G97" s="48">
        <f>$D95*G96</f>
        <v>96374.996520000001</v>
      </c>
      <c r="H97" s="48">
        <f>$D95*H96</f>
        <v>192749.99304</v>
      </c>
      <c r="I97" s="48">
        <f>$D95*I96</f>
        <v>292045.44400000002</v>
      </c>
      <c r="J97" s="48">
        <f>D95*J96</f>
        <v>525681.79920000001</v>
      </c>
      <c r="K97" s="48">
        <f>D95*K96</f>
        <v>759318.1544</v>
      </c>
      <c r="L97" s="48">
        <f>D95*L96</f>
        <v>992954.50960000011</v>
      </c>
      <c r="M97" s="48">
        <f>D95*M96</f>
        <v>1226590.8647999999</v>
      </c>
      <c r="N97" s="49">
        <f>D95*N96</f>
        <v>1460227.22</v>
      </c>
      <c r="O97" s="620"/>
    </row>
    <row r="98" spans="2:15" ht="19.5" customHeight="1" x14ac:dyDescent="0.2">
      <c r="B98" s="618" t="s">
        <v>317</v>
      </c>
      <c r="C98" s="102"/>
      <c r="D98" s="103"/>
      <c r="E98" s="103"/>
      <c r="F98" s="103"/>
      <c r="G98" s="103"/>
      <c r="H98" s="103"/>
      <c r="I98" s="103"/>
      <c r="J98" s="103"/>
      <c r="K98" s="103"/>
      <c r="L98" s="103"/>
      <c r="M98" s="103"/>
      <c r="N98" s="104"/>
      <c r="O98" s="619"/>
    </row>
    <row r="99" spans="2:15" ht="18" x14ac:dyDescent="0.2">
      <c r="B99" s="615" t="s">
        <v>318</v>
      </c>
      <c r="C99" s="23" t="s">
        <v>319</v>
      </c>
      <c r="D99" s="46">
        <f t="shared" ref="D99:N99" si="36">(D95*$C26)+(D97*$E26)</f>
        <v>29204.544399999999</v>
      </c>
      <c r="E99" s="46">
        <f t="shared" si="36"/>
        <v>29204.544399999999</v>
      </c>
      <c r="F99" s="46">
        <f t="shared" si="36"/>
        <v>29204.544399999999</v>
      </c>
      <c r="G99" s="46">
        <f t="shared" si="36"/>
        <v>28635.931920531999</v>
      </c>
      <c r="H99" s="46">
        <f t="shared" si="36"/>
        <v>28067.319441063999</v>
      </c>
      <c r="I99" s="46">
        <f t="shared" si="36"/>
        <v>27481.476280399998</v>
      </c>
      <c r="J99" s="46">
        <f t="shared" si="36"/>
        <v>26103.021784720004</v>
      </c>
      <c r="K99" s="46">
        <f t="shared" si="36"/>
        <v>24724.567289040002</v>
      </c>
      <c r="L99" s="46">
        <f t="shared" si="36"/>
        <v>23346.11279336</v>
      </c>
      <c r="M99" s="46">
        <f t="shared" si="36"/>
        <v>21967.658297680002</v>
      </c>
      <c r="N99" s="47">
        <f t="shared" si="36"/>
        <v>20589.203802</v>
      </c>
      <c r="O99" s="620"/>
    </row>
    <row r="100" spans="2:15" ht="24.75" customHeight="1" x14ac:dyDescent="0.2">
      <c r="B100" s="615" t="s">
        <v>320</v>
      </c>
      <c r="C100" s="23" t="s">
        <v>321</v>
      </c>
      <c r="D100" s="46">
        <f>D99*44/28</f>
        <v>45892.855485714281</v>
      </c>
      <c r="E100" s="46">
        <f t="shared" ref="E100" si="37">E99*44/28</f>
        <v>45892.855485714281</v>
      </c>
      <c r="F100" s="46">
        <f t="shared" ref="F100" si="38">F99*44/28</f>
        <v>45892.855485714281</v>
      </c>
      <c r="G100" s="46">
        <f t="shared" ref="G100" si="39">G99*44/28</f>
        <v>44999.321589407431</v>
      </c>
      <c r="H100" s="46">
        <f t="shared" ref="H100" si="40">H99*44/28</f>
        <v>44105.787693100567</v>
      </c>
      <c r="I100" s="46">
        <f t="shared" ref="I100" si="41">I99*44/28</f>
        <v>43185.177012057145</v>
      </c>
      <c r="J100" s="46">
        <f t="shared" ref="J100" si="42">J99*44/28</f>
        <v>41019.034233131439</v>
      </c>
      <c r="K100" s="46">
        <f t="shared" ref="K100" si="43">K99*44/28</f>
        <v>38852.891454205717</v>
      </c>
      <c r="L100" s="46">
        <f t="shared" ref="L100" si="44">L99*44/28</f>
        <v>36686.748675280003</v>
      </c>
      <c r="M100" s="46">
        <f t="shared" ref="M100" si="45">M99*44/28</f>
        <v>34520.605896354289</v>
      </c>
      <c r="N100" s="47">
        <f t="shared" ref="N100" si="46">N99*44/28</f>
        <v>32354.463117428571</v>
      </c>
      <c r="O100" s="620"/>
    </row>
    <row r="101" spans="2:15" ht="19.5" customHeight="1" x14ac:dyDescent="0.2">
      <c r="B101" s="618" t="s">
        <v>322</v>
      </c>
      <c r="C101" s="102"/>
      <c r="D101" s="103"/>
      <c r="E101" s="103"/>
      <c r="F101" s="103"/>
      <c r="G101" s="103"/>
      <c r="H101" s="103"/>
      <c r="I101" s="103"/>
      <c r="J101" s="103"/>
      <c r="K101" s="103"/>
      <c r="L101" s="103"/>
      <c r="M101" s="103"/>
      <c r="N101" s="104"/>
      <c r="O101" s="619"/>
    </row>
    <row r="102" spans="2:15" ht="18" x14ac:dyDescent="0.2">
      <c r="B102" s="615" t="s">
        <v>323</v>
      </c>
      <c r="C102" s="23" t="s">
        <v>319</v>
      </c>
      <c r="D102" s="46">
        <f t="shared" ref="D102:N102" si="47">$G$40*$D$29*$D$27</f>
        <v>4380.6816600000002</v>
      </c>
      <c r="E102" s="46">
        <f t="shared" si="47"/>
        <v>4380.6816600000002</v>
      </c>
      <c r="F102" s="46">
        <f t="shared" si="47"/>
        <v>4380.6816600000002</v>
      </c>
      <c r="G102" s="46">
        <f t="shared" si="47"/>
        <v>4380.6816600000002</v>
      </c>
      <c r="H102" s="46">
        <f t="shared" si="47"/>
        <v>4380.6816600000002</v>
      </c>
      <c r="I102" s="46">
        <f t="shared" si="47"/>
        <v>4380.6816600000002</v>
      </c>
      <c r="J102" s="46">
        <f t="shared" si="47"/>
        <v>4380.6816600000002</v>
      </c>
      <c r="K102" s="46">
        <f t="shared" si="47"/>
        <v>4380.6816600000002</v>
      </c>
      <c r="L102" s="46">
        <f t="shared" si="47"/>
        <v>4380.6816600000002</v>
      </c>
      <c r="M102" s="46">
        <f t="shared" si="47"/>
        <v>4380.6816600000002</v>
      </c>
      <c r="N102" s="47">
        <f t="shared" si="47"/>
        <v>4380.6816600000002</v>
      </c>
      <c r="O102" s="620"/>
    </row>
    <row r="103" spans="2:15" ht="18" x14ac:dyDescent="0.2">
      <c r="B103" s="615" t="s">
        <v>324</v>
      </c>
      <c r="C103" s="23" t="s">
        <v>319</v>
      </c>
      <c r="D103" s="46">
        <f t="shared" ref="D103:N103" si="48">$G40*$E28*$E30</f>
        <v>7709.9997215999992</v>
      </c>
      <c r="E103" s="46">
        <f t="shared" si="48"/>
        <v>7709.9997215999992</v>
      </c>
      <c r="F103" s="46">
        <f t="shared" si="48"/>
        <v>7709.9997215999992</v>
      </c>
      <c r="G103" s="46">
        <f t="shared" si="48"/>
        <v>7709.9997215999992</v>
      </c>
      <c r="H103" s="46">
        <f t="shared" si="48"/>
        <v>7709.9997215999992</v>
      </c>
      <c r="I103" s="46">
        <f t="shared" si="48"/>
        <v>7709.9997215999992</v>
      </c>
      <c r="J103" s="46">
        <f t="shared" si="48"/>
        <v>7709.9997215999992</v>
      </c>
      <c r="K103" s="46">
        <f t="shared" si="48"/>
        <v>7709.9997215999992</v>
      </c>
      <c r="L103" s="46">
        <f t="shared" si="48"/>
        <v>7709.9997215999992</v>
      </c>
      <c r="M103" s="46">
        <f t="shared" si="48"/>
        <v>7709.9997215999992</v>
      </c>
      <c r="N103" s="47">
        <f t="shared" si="48"/>
        <v>7709.9997215999992</v>
      </c>
      <c r="O103" s="620"/>
    </row>
    <row r="104" spans="2:15" ht="22.5" customHeight="1" x14ac:dyDescent="0.2">
      <c r="B104" s="615" t="s">
        <v>325</v>
      </c>
      <c r="C104" s="23" t="s">
        <v>321</v>
      </c>
      <c r="D104" s="46">
        <f>(D102*44/28)</f>
        <v>6883.928322857143</v>
      </c>
      <c r="E104" s="46">
        <f t="shared" ref="E104:N104" si="49">(E102*44/28)</f>
        <v>6883.928322857143</v>
      </c>
      <c r="F104" s="46">
        <f t="shared" si="49"/>
        <v>6883.928322857143</v>
      </c>
      <c r="G104" s="46">
        <f t="shared" si="49"/>
        <v>6883.928322857143</v>
      </c>
      <c r="H104" s="46">
        <f t="shared" si="49"/>
        <v>6883.928322857143</v>
      </c>
      <c r="I104" s="46">
        <f t="shared" si="49"/>
        <v>6883.928322857143</v>
      </c>
      <c r="J104" s="46">
        <f t="shared" si="49"/>
        <v>6883.928322857143</v>
      </c>
      <c r="K104" s="46">
        <f t="shared" si="49"/>
        <v>6883.928322857143</v>
      </c>
      <c r="L104" s="46">
        <f t="shared" si="49"/>
        <v>6883.928322857143</v>
      </c>
      <c r="M104" s="46">
        <f t="shared" si="49"/>
        <v>6883.928322857143</v>
      </c>
      <c r="N104" s="47">
        <f t="shared" si="49"/>
        <v>6883.928322857143</v>
      </c>
      <c r="O104" s="620"/>
    </row>
    <row r="105" spans="2:15" ht="22.5" customHeight="1" x14ac:dyDescent="0.2">
      <c r="B105" s="615" t="s">
        <v>326</v>
      </c>
      <c r="C105" s="23" t="s">
        <v>321</v>
      </c>
      <c r="D105" s="46">
        <f>D103*44/28</f>
        <v>12115.71384822857</v>
      </c>
      <c r="E105" s="46">
        <f t="shared" ref="E105:N105" si="50">E103*44/28</f>
        <v>12115.71384822857</v>
      </c>
      <c r="F105" s="46">
        <f t="shared" si="50"/>
        <v>12115.71384822857</v>
      </c>
      <c r="G105" s="46">
        <f t="shared" si="50"/>
        <v>12115.71384822857</v>
      </c>
      <c r="H105" s="46">
        <f t="shared" si="50"/>
        <v>12115.71384822857</v>
      </c>
      <c r="I105" s="46">
        <f t="shared" si="50"/>
        <v>12115.71384822857</v>
      </c>
      <c r="J105" s="46">
        <f t="shared" si="50"/>
        <v>12115.71384822857</v>
      </c>
      <c r="K105" s="46">
        <f t="shared" si="50"/>
        <v>12115.71384822857</v>
      </c>
      <c r="L105" s="46">
        <f t="shared" si="50"/>
        <v>12115.71384822857</v>
      </c>
      <c r="M105" s="46">
        <f t="shared" si="50"/>
        <v>12115.71384822857</v>
      </c>
      <c r="N105" s="47">
        <f t="shared" si="50"/>
        <v>12115.71384822857</v>
      </c>
      <c r="O105" s="620"/>
    </row>
    <row r="106" spans="2:15" ht="24" customHeight="1" x14ac:dyDescent="0.2">
      <c r="B106" s="618" t="s">
        <v>327</v>
      </c>
      <c r="C106" s="102"/>
      <c r="D106" s="103"/>
      <c r="E106" s="103"/>
      <c r="F106" s="103"/>
      <c r="G106" s="103"/>
      <c r="H106" s="103"/>
      <c r="I106" s="103"/>
      <c r="J106" s="103"/>
      <c r="K106" s="103"/>
      <c r="L106" s="103"/>
      <c r="M106" s="103"/>
      <c r="N106" s="104"/>
      <c r="O106" s="619"/>
    </row>
    <row r="107" spans="2:15" ht="18" x14ac:dyDescent="0.2">
      <c r="B107" s="615" t="s">
        <v>320</v>
      </c>
      <c r="C107" s="106" t="s">
        <v>164</v>
      </c>
      <c r="D107" s="105">
        <f>(D100*265)/10^6</f>
        <v>12.161606703714286</v>
      </c>
      <c r="E107" s="105">
        <f t="shared" ref="E107:N107" si="51">(E100*265)/10^6</f>
        <v>12.161606703714286</v>
      </c>
      <c r="F107" s="105">
        <f t="shared" si="51"/>
        <v>12.161606703714286</v>
      </c>
      <c r="G107" s="105">
        <f t="shared" si="51"/>
        <v>11.924820221192968</v>
      </c>
      <c r="H107" s="105">
        <f t="shared" si="51"/>
        <v>11.688033738671649</v>
      </c>
      <c r="I107" s="105">
        <f t="shared" si="51"/>
        <v>11.444071908195143</v>
      </c>
      <c r="J107" s="105">
        <f t="shared" si="51"/>
        <v>10.87004407177983</v>
      </c>
      <c r="K107" s="105">
        <f t="shared" si="51"/>
        <v>10.296016235364515</v>
      </c>
      <c r="L107" s="105">
        <f t="shared" si="51"/>
        <v>9.7219883989492004</v>
      </c>
      <c r="M107" s="105">
        <f t="shared" si="51"/>
        <v>9.1479605625338873</v>
      </c>
      <c r="N107" s="105">
        <f t="shared" si="51"/>
        <v>8.5739327261185725</v>
      </c>
      <c r="O107" s="621"/>
    </row>
    <row r="108" spans="2:15" ht="22.5" customHeight="1" x14ac:dyDescent="0.2">
      <c r="B108" s="615" t="s">
        <v>325</v>
      </c>
      <c r="C108" s="106" t="s">
        <v>164</v>
      </c>
      <c r="D108" s="105">
        <f>(D104*265)/10^6</f>
        <v>1.824241005557143</v>
      </c>
      <c r="E108" s="105">
        <f t="shared" ref="E108:N108" si="52">(E104*265)/10^6</f>
        <v>1.824241005557143</v>
      </c>
      <c r="F108" s="105">
        <f t="shared" si="52"/>
        <v>1.824241005557143</v>
      </c>
      <c r="G108" s="105">
        <f t="shared" si="52"/>
        <v>1.824241005557143</v>
      </c>
      <c r="H108" s="105">
        <f t="shared" si="52"/>
        <v>1.824241005557143</v>
      </c>
      <c r="I108" s="105">
        <f t="shared" si="52"/>
        <v>1.824241005557143</v>
      </c>
      <c r="J108" s="105">
        <f t="shared" si="52"/>
        <v>1.824241005557143</v>
      </c>
      <c r="K108" s="105">
        <f t="shared" si="52"/>
        <v>1.824241005557143</v>
      </c>
      <c r="L108" s="105">
        <f t="shared" si="52"/>
        <v>1.824241005557143</v>
      </c>
      <c r="M108" s="105">
        <f t="shared" si="52"/>
        <v>1.824241005557143</v>
      </c>
      <c r="N108" s="105">
        <f t="shared" si="52"/>
        <v>1.824241005557143</v>
      </c>
      <c r="O108" s="621"/>
    </row>
    <row r="109" spans="2:15" ht="22.5" customHeight="1" x14ac:dyDescent="0.2">
      <c r="B109" s="615" t="s">
        <v>326</v>
      </c>
      <c r="C109" s="106" t="s">
        <v>164</v>
      </c>
      <c r="D109" s="105">
        <f>(D105*265)/10^6</f>
        <v>3.2106641697805709</v>
      </c>
      <c r="E109" s="105">
        <f t="shared" ref="E109:N109" si="53">(E105*265)/10^6</f>
        <v>3.2106641697805709</v>
      </c>
      <c r="F109" s="105">
        <f t="shared" si="53"/>
        <v>3.2106641697805709</v>
      </c>
      <c r="G109" s="105">
        <f t="shared" si="53"/>
        <v>3.2106641697805709</v>
      </c>
      <c r="H109" s="105">
        <f t="shared" si="53"/>
        <v>3.2106641697805709</v>
      </c>
      <c r="I109" s="105">
        <f t="shared" si="53"/>
        <v>3.2106641697805709</v>
      </c>
      <c r="J109" s="105">
        <f t="shared" si="53"/>
        <v>3.2106641697805709</v>
      </c>
      <c r="K109" s="105">
        <f t="shared" si="53"/>
        <v>3.2106641697805709</v>
      </c>
      <c r="L109" s="105">
        <f t="shared" si="53"/>
        <v>3.2106641697805709</v>
      </c>
      <c r="M109" s="105">
        <f t="shared" si="53"/>
        <v>3.2106641697805709</v>
      </c>
      <c r="N109" s="105">
        <f t="shared" si="53"/>
        <v>3.2106641697805709</v>
      </c>
      <c r="O109" s="621"/>
    </row>
    <row r="110" spans="2:15" ht="19" thickBot="1" x14ac:dyDescent="0.25">
      <c r="B110" s="622" t="s">
        <v>328</v>
      </c>
      <c r="C110" s="623" t="s">
        <v>329</v>
      </c>
      <c r="D110" s="624">
        <f>SUM(D107:D109)</f>
        <v>17.196511879052</v>
      </c>
      <c r="E110" s="624">
        <f t="shared" ref="E110:N110" si="54">SUM(E107:E109)</f>
        <v>17.196511879052</v>
      </c>
      <c r="F110" s="624">
        <f t="shared" si="54"/>
        <v>17.196511879052</v>
      </c>
      <c r="G110" s="624">
        <f t="shared" si="54"/>
        <v>16.959725396530683</v>
      </c>
      <c r="H110" s="624">
        <f t="shared" si="54"/>
        <v>16.722938914009362</v>
      </c>
      <c r="I110" s="624">
        <f t="shared" si="54"/>
        <v>16.478977083532858</v>
      </c>
      <c r="J110" s="624">
        <f t="shared" si="54"/>
        <v>15.904949247117544</v>
      </c>
      <c r="K110" s="624">
        <f t="shared" si="54"/>
        <v>15.33092141070223</v>
      </c>
      <c r="L110" s="624">
        <f t="shared" si="54"/>
        <v>14.756893574286915</v>
      </c>
      <c r="M110" s="624">
        <f t="shared" si="54"/>
        <v>14.182865737871602</v>
      </c>
      <c r="N110" s="682">
        <f t="shared" si="54"/>
        <v>13.608837901456287</v>
      </c>
      <c r="O110" s="626"/>
    </row>
    <row r="111" spans="2:15" customFormat="1" ht="17" thickBot="1" x14ac:dyDescent="0.25"/>
    <row r="112" spans="2:15" ht="19" thickBot="1" x14ac:dyDescent="0.25">
      <c r="B112" s="627" t="s">
        <v>683</v>
      </c>
      <c r="C112" s="607" t="s">
        <v>329</v>
      </c>
      <c r="D112" s="628">
        <f>D110</f>
        <v>17.196511879052</v>
      </c>
      <c r="E112" s="628">
        <f t="shared" ref="E112:N112" si="55">E110</f>
        <v>17.196511879052</v>
      </c>
      <c r="F112" s="628">
        <f t="shared" si="55"/>
        <v>17.196511879052</v>
      </c>
      <c r="G112" s="628">
        <f t="shared" si="55"/>
        <v>16.959725396530683</v>
      </c>
      <c r="H112" s="628">
        <f t="shared" si="55"/>
        <v>16.722938914009362</v>
      </c>
      <c r="I112" s="628">
        <f t="shared" si="55"/>
        <v>16.478977083532858</v>
      </c>
      <c r="J112" s="628">
        <f t="shared" si="55"/>
        <v>15.904949247117544</v>
      </c>
      <c r="K112" s="628">
        <f t="shared" si="55"/>
        <v>15.33092141070223</v>
      </c>
      <c r="L112" s="628">
        <f t="shared" si="55"/>
        <v>14.756893574286915</v>
      </c>
      <c r="M112" s="628">
        <f t="shared" si="55"/>
        <v>14.182865737871602</v>
      </c>
      <c r="N112" s="685">
        <f t="shared" si="55"/>
        <v>13.608837901456287</v>
      </c>
      <c r="O112" s="630"/>
    </row>
    <row r="113" spans="2:15" x14ac:dyDescent="0.2">
      <c r="B113" s="50"/>
      <c r="C113" s="51"/>
      <c r="D113" s="51"/>
      <c r="E113" s="52"/>
      <c r="F113" s="52"/>
      <c r="G113" s="52"/>
      <c r="H113" s="53"/>
      <c r="J113" s="54"/>
      <c r="K113" s="54"/>
      <c r="M113" s="54"/>
      <c r="N113" s="26"/>
      <c r="O113" s="231"/>
    </row>
    <row r="114" spans="2:15" ht="17" thickBot="1" x14ac:dyDescent="0.25">
      <c r="B114" s="50"/>
      <c r="C114" s="51"/>
      <c r="D114" s="51"/>
      <c r="E114" s="52"/>
      <c r="F114" s="52"/>
      <c r="G114" s="52"/>
      <c r="H114" s="53"/>
      <c r="J114" s="54"/>
      <c r="K114" s="54"/>
      <c r="M114" s="54"/>
      <c r="N114" s="26"/>
      <c r="O114" s="231"/>
    </row>
    <row r="115" spans="2:15" ht="19" thickBot="1" x14ac:dyDescent="0.25">
      <c r="B115" s="678" t="s">
        <v>124</v>
      </c>
      <c r="C115" s="674"/>
      <c r="D115" s="675"/>
      <c r="E115" s="676"/>
      <c r="F115" s="674"/>
      <c r="G115" s="676"/>
      <c r="H115" s="676"/>
      <c r="I115" s="676"/>
      <c r="J115" s="676"/>
      <c r="K115" s="676"/>
      <c r="L115" s="676"/>
      <c r="M115" s="676"/>
      <c r="N115" s="676"/>
      <c r="O115" s="677"/>
    </row>
    <row r="116" spans="2:15" customFormat="1" ht="17" thickBot="1" x14ac:dyDescent="0.25"/>
    <row r="117" spans="2:15" ht="17" x14ac:dyDescent="0.2">
      <c r="B117" s="608"/>
      <c r="C117" s="609" t="s">
        <v>126</v>
      </c>
      <c r="D117" s="609" t="s">
        <v>120</v>
      </c>
      <c r="E117" s="609" t="s">
        <v>146</v>
      </c>
      <c r="F117" s="609" t="s">
        <v>147</v>
      </c>
      <c r="G117" s="609" t="s">
        <v>148</v>
      </c>
      <c r="H117" s="609" t="s">
        <v>149</v>
      </c>
      <c r="I117" s="610" t="s">
        <v>150</v>
      </c>
      <c r="J117" s="609" t="s">
        <v>151</v>
      </c>
      <c r="K117" s="611" t="s">
        <v>152</v>
      </c>
      <c r="L117" s="611" t="s">
        <v>153</v>
      </c>
      <c r="M117" s="612" t="s">
        <v>154</v>
      </c>
      <c r="N117" s="679" t="s">
        <v>121</v>
      </c>
      <c r="O117" s="614" t="s">
        <v>155</v>
      </c>
    </row>
    <row r="118" spans="2:15" ht="24.75" customHeight="1" x14ac:dyDescent="0.2">
      <c r="B118" s="615" t="s">
        <v>314</v>
      </c>
      <c r="C118" s="23" t="s">
        <v>315</v>
      </c>
      <c r="D118" s="69">
        <f>G40</f>
        <v>2920454.44</v>
      </c>
      <c r="E118" s="46">
        <f t="shared" ref="E118:N118" si="56">$D118-E120</f>
        <v>2920454.44</v>
      </c>
      <c r="F118" s="46">
        <f t="shared" si="56"/>
        <v>2920454.44</v>
      </c>
      <c r="G118" s="48">
        <f t="shared" si="56"/>
        <v>2774431.7179999999</v>
      </c>
      <c r="H118" s="48">
        <f t="shared" si="56"/>
        <v>2628408.9959999998</v>
      </c>
      <c r="I118" s="48">
        <f t="shared" si="56"/>
        <v>2482386.2740000002</v>
      </c>
      <c r="J118" s="48">
        <f t="shared" si="56"/>
        <v>2131931.7412</v>
      </c>
      <c r="K118" s="48">
        <f t="shared" si="56"/>
        <v>1781477.2083999999</v>
      </c>
      <c r="L118" s="48">
        <f t="shared" si="56"/>
        <v>1431022.6756</v>
      </c>
      <c r="M118" s="48">
        <f t="shared" si="56"/>
        <v>1080568.1428</v>
      </c>
      <c r="N118" s="49">
        <f t="shared" si="56"/>
        <v>730113.60999999987</v>
      </c>
      <c r="O118" s="620"/>
    </row>
    <row r="119" spans="2:15" ht="90" customHeight="1" x14ac:dyDescent="0.2">
      <c r="B119" s="680" t="s">
        <v>330</v>
      </c>
      <c r="C119" s="266" t="s">
        <v>170</v>
      </c>
      <c r="D119" s="232" t="s">
        <v>332</v>
      </c>
      <c r="E119" s="232" t="s">
        <v>332</v>
      </c>
      <c r="F119" s="232" t="s">
        <v>332</v>
      </c>
      <c r="G119" s="232">
        <v>0.05</v>
      </c>
      <c r="H119" s="232">
        <v>0.1</v>
      </c>
      <c r="I119" s="232">
        <v>0.15</v>
      </c>
      <c r="J119" s="232">
        <v>0.27</v>
      </c>
      <c r="K119" s="232">
        <v>0.39</v>
      </c>
      <c r="L119" s="232">
        <v>0.51</v>
      </c>
      <c r="M119" s="232">
        <v>0.63</v>
      </c>
      <c r="N119" s="233">
        <v>0.75</v>
      </c>
      <c r="O119" s="681" t="s">
        <v>334</v>
      </c>
    </row>
    <row r="120" spans="2:15" ht="30.75" customHeight="1" x14ac:dyDescent="0.2">
      <c r="B120" s="615" t="s">
        <v>316</v>
      </c>
      <c r="C120" s="23" t="s">
        <v>315</v>
      </c>
      <c r="D120" s="67">
        <f>$D118*0.75/10*0</f>
        <v>0</v>
      </c>
      <c r="E120" s="67">
        <f>D118*0.75/10*0</f>
        <v>0</v>
      </c>
      <c r="F120" s="67">
        <f>D118*0.75/10*0</f>
        <v>0</v>
      </c>
      <c r="G120" s="67">
        <f>D118*G119</f>
        <v>146022.72200000001</v>
      </c>
      <c r="H120" s="67">
        <f>D118*H119</f>
        <v>292045.44400000002</v>
      </c>
      <c r="I120" s="67">
        <f>D118*I119</f>
        <v>438068.16599999997</v>
      </c>
      <c r="J120" s="67">
        <f>D118*J119</f>
        <v>788522.69880000001</v>
      </c>
      <c r="K120" s="67">
        <f>D118*K119</f>
        <v>1138977.2316000001</v>
      </c>
      <c r="L120" s="67">
        <f>D118*L119</f>
        <v>1489431.7644</v>
      </c>
      <c r="M120" s="67">
        <f>D118*M119</f>
        <v>1839886.2971999999</v>
      </c>
      <c r="N120" s="114">
        <f>D118*N119</f>
        <v>2190340.83</v>
      </c>
      <c r="O120" s="620"/>
    </row>
    <row r="121" spans="2:15" ht="19.5" customHeight="1" x14ac:dyDescent="0.2">
      <c r="B121" s="618" t="s">
        <v>317</v>
      </c>
      <c r="C121" s="102"/>
      <c r="D121" s="103"/>
      <c r="E121" s="103"/>
      <c r="F121" s="103"/>
      <c r="G121" s="103"/>
      <c r="H121" s="103"/>
      <c r="I121" s="103"/>
      <c r="J121" s="103"/>
      <c r="K121" s="103"/>
      <c r="L121" s="103"/>
      <c r="M121" s="103"/>
      <c r="N121" s="104"/>
      <c r="O121" s="619"/>
    </row>
    <row r="122" spans="2:15" ht="18" x14ac:dyDescent="0.2">
      <c r="B122" s="615" t="s">
        <v>318</v>
      </c>
      <c r="C122" s="23" t="s">
        <v>319</v>
      </c>
      <c r="D122" s="46">
        <f t="shared" ref="D122:N122" si="57">(D118*$C26)+(D120*$F26)</f>
        <v>29204.544399999999</v>
      </c>
      <c r="E122" s="46">
        <f t="shared" si="57"/>
        <v>29204.544399999999</v>
      </c>
      <c r="F122" s="46">
        <f t="shared" si="57"/>
        <v>29204.544399999999</v>
      </c>
      <c r="G122" s="46">
        <f t="shared" si="57"/>
        <v>28343.010340199999</v>
      </c>
      <c r="H122" s="46">
        <f t="shared" si="57"/>
        <v>27481.476280399998</v>
      </c>
      <c r="I122" s="46">
        <f t="shared" si="57"/>
        <v>26619.942220600005</v>
      </c>
      <c r="J122" s="46">
        <f t="shared" si="57"/>
        <v>24552.260477080003</v>
      </c>
      <c r="K122" s="46">
        <f t="shared" si="57"/>
        <v>22484.57873356</v>
      </c>
      <c r="L122" s="46">
        <f t="shared" si="57"/>
        <v>20416.896990040001</v>
      </c>
      <c r="M122" s="46">
        <f t="shared" si="57"/>
        <v>18349.215246519998</v>
      </c>
      <c r="N122" s="47">
        <f t="shared" si="57"/>
        <v>16281.533502999999</v>
      </c>
      <c r="O122" s="620"/>
    </row>
    <row r="123" spans="2:15" ht="24.75" customHeight="1" x14ac:dyDescent="0.2">
      <c r="B123" s="615" t="s">
        <v>320</v>
      </c>
      <c r="C123" s="23" t="s">
        <v>321</v>
      </c>
      <c r="D123" s="46">
        <f>D122*44/28</f>
        <v>45892.855485714281</v>
      </c>
      <c r="E123" s="46">
        <f t="shared" ref="E123" si="58">E122*44/28</f>
        <v>45892.855485714281</v>
      </c>
      <c r="F123" s="46">
        <f t="shared" ref="F123" si="59">F122*44/28</f>
        <v>45892.855485714281</v>
      </c>
      <c r="G123" s="46">
        <f t="shared" ref="G123" si="60">G122*44/28</f>
        <v>44539.01624888571</v>
      </c>
      <c r="H123" s="46">
        <f t="shared" ref="H123" si="61">H122*44/28</f>
        <v>43185.177012057145</v>
      </c>
      <c r="I123" s="46">
        <f t="shared" ref="I123" si="62">I122*44/28</f>
        <v>41831.337775228581</v>
      </c>
      <c r="J123" s="46">
        <f t="shared" ref="J123" si="63">J122*44/28</f>
        <v>38582.12360684001</v>
      </c>
      <c r="K123" s="46">
        <f t="shared" ref="K123" si="64">K122*44/28</f>
        <v>35332.909438451425</v>
      </c>
      <c r="L123" s="46">
        <f t="shared" ref="L123" si="65">L122*44/28</f>
        <v>32083.695270062857</v>
      </c>
      <c r="M123" s="46">
        <f t="shared" ref="M123" si="66">M122*44/28</f>
        <v>28834.481101674282</v>
      </c>
      <c r="N123" s="47">
        <f t="shared" ref="N123" si="67">N122*44/28</f>
        <v>25585.266933285715</v>
      </c>
      <c r="O123" s="620"/>
    </row>
    <row r="124" spans="2:15" ht="19.5" customHeight="1" x14ac:dyDescent="0.2">
      <c r="B124" s="618" t="s">
        <v>322</v>
      </c>
      <c r="C124" s="102"/>
      <c r="D124" s="103"/>
      <c r="E124" s="103"/>
      <c r="F124" s="103"/>
      <c r="G124" s="103"/>
      <c r="H124" s="103"/>
      <c r="I124" s="103"/>
      <c r="J124" s="103"/>
      <c r="K124" s="103"/>
      <c r="L124" s="103"/>
      <c r="M124" s="103"/>
      <c r="N124" s="104"/>
      <c r="O124" s="619"/>
    </row>
    <row r="125" spans="2:15" ht="18" x14ac:dyDescent="0.2">
      <c r="B125" s="615" t="s">
        <v>323</v>
      </c>
      <c r="C125" s="23" t="s">
        <v>319</v>
      </c>
      <c r="D125" s="46">
        <f t="shared" ref="D125:N125" si="68">$G$40*$D$29*$D$27</f>
        <v>4380.6816600000002</v>
      </c>
      <c r="E125" s="46">
        <f t="shared" si="68"/>
        <v>4380.6816600000002</v>
      </c>
      <c r="F125" s="46">
        <f t="shared" si="68"/>
        <v>4380.6816600000002</v>
      </c>
      <c r="G125" s="46">
        <f t="shared" si="68"/>
        <v>4380.6816600000002</v>
      </c>
      <c r="H125" s="46">
        <f t="shared" si="68"/>
        <v>4380.6816600000002</v>
      </c>
      <c r="I125" s="46">
        <f t="shared" si="68"/>
        <v>4380.6816600000002</v>
      </c>
      <c r="J125" s="46">
        <f t="shared" si="68"/>
        <v>4380.6816600000002</v>
      </c>
      <c r="K125" s="46">
        <f t="shared" si="68"/>
        <v>4380.6816600000002</v>
      </c>
      <c r="L125" s="46">
        <f t="shared" si="68"/>
        <v>4380.6816600000002</v>
      </c>
      <c r="M125" s="46">
        <f t="shared" si="68"/>
        <v>4380.6816600000002</v>
      </c>
      <c r="N125" s="47">
        <f t="shared" si="68"/>
        <v>4380.6816600000002</v>
      </c>
      <c r="O125" s="620"/>
    </row>
    <row r="126" spans="2:15" ht="22.5" customHeight="1" x14ac:dyDescent="0.2">
      <c r="B126" s="615" t="s">
        <v>324</v>
      </c>
      <c r="C126" s="23" t="s">
        <v>319</v>
      </c>
      <c r="D126" s="46">
        <f t="shared" ref="D126:N126" si="69">$G40*$D28*$D30</f>
        <v>7709.9997215999992</v>
      </c>
      <c r="E126" s="46">
        <f t="shared" si="69"/>
        <v>7709.9997215999992</v>
      </c>
      <c r="F126" s="46">
        <f t="shared" si="69"/>
        <v>7709.9997215999992</v>
      </c>
      <c r="G126" s="46">
        <f t="shared" si="69"/>
        <v>7709.9997215999992</v>
      </c>
      <c r="H126" s="46">
        <f t="shared" si="69"/>
        <v>7709.9997215999992</v>
      </c>
      <c r="I126" s="46">
        <f t="shared" si="69"/>
        <v>7709.9997215999992</v>
      </c>
      <c r="J126" s="46">
        <f t="shared" si="69"/>
        <v>7709.9997215999992</v>
      </c>
      <c r="K126" s="46">
        <f t="shared" si="69"/>
        <v>7709.9997215999992</v>
      </c>
      <c r="L126" s="46">
        <f t="shared" si="69"/>
        <v>7709.9997215999992</v>
      </c>
      <c r="M126" s="46">
        <f t="shared" si="69"/>
        <v>7709.9997215999992</v>
      </c>
      <c r="N126" s="47">
        <f t="shared" si="69"/>
        <v>7709.9997215999992</v>
      </c>
      <c r="O126" s="620"/>
    </row>
    <row r="127" spans="2:15" ht="22.5" customHeight="1" x14ac:dyDescent="0.2">
      <c r="B127" s="615" t="s">
        <v>325</v>
      </c>
      <c r="C127" s="23" t="s">
        <v>321</v>
      </c>
      <c r="D127" s="46">
        <f>(D125*44/28)</f>
        <v>6883.928322857143</v>
      </c>
      <c r="E127" s="46">
        <f t="shared" ref="E127:N127" si="70">(E125*44/28)</f>
        <v>6883.928322857143</v>
      </c>
      <c r="F127" s="46">
        <f t="shared" si="70"/>
        <v>6883.928322857143</v>
      </c>
      <c r="G127" s="46">
        <f t="shared" si="70"/>
        <v>6883.928322857143</v>
      </c>
      <c r="H127" s="46">
        <f t="shared" si="70"/>
        <v>6883.928322857143</v>
      </c>
      <c r="I127" s="46">
        <f t="shared" si="70"/>
        <v>6883.928322857143</v>
      </c>
      <c r="J127" s="46">
        <f t="shared" si="70"/>
        <v>6883.928322857143</v>
      </c>
      <c r="K127" s="46">
        <f t="shared" si="70"/>
        <v>6883.928322857143</v>
      </c>
      <c r="L127" s="46">
        <f t="shared" si="70"/>
        <v>6883.928322857143</v>
      </c>
      <c r="M127" s="46">
        <f t="shared" si="70"/>
        <v>6883.928322857143</v>
      </c>
      <c r="N127" s="47">
        <f t="shared" si="70"/>
        <v>6883.928322857143</v>
      </c>
      <c r="O127" s="620"/>
    </row>
    <row r="128" spans="2:15" ht="22.5" customHeight="1" x14ac:dyDescent="0.2">
      <c r="B128" s="615" t="s">
        <v>326</v>
      </c>
      <c r="C128" s="23" t="s">
        <v>321</v>
      </c>
      <c r="D128" s="46">
        <f>D126*44/28</f>
        <v>12115.71384822857</v>
      </c>
      <c r="E128" s="46">
        <f>E126*44/28</f>
        <v>12115.71384822857</v>
      </c>
      <c r="F128" s="46">
        <f t="shared" ref="F128:N128" si="71">F126*44/28</f>
        <v>12115.71384822857</v>
      </c>
      <c r="G128" s="46">
        <f t="shared" si="71"/>
        <v>12115.71384822857</v>
      </c>
      <c r="H128" s="46">
        <f t="shared" si="71"/>
        <v>12115.71384822857</v>
      </c>
      <c r="I128" s="46">
        <f t="shared" si="71"/>
        <v>12115.71384822857</v>
      </c>
      <c r="J128" s="46">
        <f t="shared" si="71"/>
        <v>12115.71384822857</v>
      </c>
      <c r="K128" s="46">
        <f t="shared" si="71"/>
        <v>12115.71384822857</v>
      </c>
      <c r="L128" s="46">
        <f t="shared" si="71"/>
        <v>12115.71384822857</v>
      </c>
      <c r="M128" s="46">
        <f t="shared" si="71"/>
        <v>12115.71384822857</v>
      </c>
      <c r="N128" s="47">
        <f t="shared" si="71"/>
        <v>12115.71384822857</v>
      </c>
      <c r="O128" s="620"/>
    </row>
    <row r="129" spans="1:16" ht="24" customHeight="1" x14ac:dyDescent="0.2">
      <c r="B129" s="618" t="s">
        <v>327</v>
      </c>
      <c r="C129" s="102"/>
      <c r="D129" s="103"/>
      <c r="E129" s="103"/>
      <c r="F129" s="103"/>
      <c r="G129" s="103"/>
      <c r="H129" s="103"/>
      <c r="I129" s="103"/>
      <c r="J129" s="103"/>
      <c r="K129" s="103"/>
      <c r="L129" s="103"/>
      <c r="M129" s="103"/>
      <c r="N129" s="104"/>
      <c r="O129" s="619"/>
    </row>
    <row r="130" spans="1:16" ht="18" x14ac:dyDescent="0.2">
      <c r="B130" s="615" t="s">
        <v>320</v>
      </c>
      <c r="C130" s="106" t="s">
        <v>164</v>
      </c>
      <c r="D130" s="105">
        <f>(D123*265)/10^6</f>
        <v>12.161606703714286</v>
      </c>
      <c r="E130" s="105">
        <f t="shared" ref="E130:N130" si="72">(E123*265)/10^6</f>
        <v>12.161606703714286</v>
      </c>
      <c r="F130" s="105">
        <f t="shared" si="72"/>
        <v>12.161606703714286</v>
      </c>
      <c r="G130" s="105">
        <f t="shared" si="72"/>
        <v>11.802839305954713</v>
      </c>
      <c r="H130" s="105">
        <f t="shared" si="72"/>
        <v>11.444071908195143</v>
      </c>
      <c r="I130" s="105">
        <f t="shared" si="72"/>
        <v>11.085304510435574</v>
      </c>
      <c r="J130" s="105">
        <f t="shared" si="72"/>
        <v>10.224262755812601</v>
      </c>
      <c r="K130" s="105">
        <f t="shared" si="72"/>
        <v>9.3632210011896273</v>
      </c>
      <c r="L130" s="105">
        <f t="shared" si="72"/>
        <v>8.5021792465666568</v>
      </c>
      <c r="M130" s="105">
        <f t="shared" si="72"/>
        <v>7.6411374919436845</v>
      </c>
      <c r="N130" s="105">
        <f t="shared" si="72"/>
        <v>6.7800957373207149</v>
      </c>
      <c r="O130" s="621"/>
    </row>
    <row r="131" spans="1:16" ht="22.5" customHeight="1" x14ac:dyDescent="0.2">
      <c r="B131" s="615" t="s">
        <v>325</v>
      </c>
      <c r="C131" s="106" t="s">
        <v>164</v>
      </c>
      <c r="D131" s="105">
        <f>(D127*265)/10^6</f>
        <v>1.824241005557143</v>
      </c>
      <c r="E131" s="105">
        <f t="shared" ref="E131:N131" si="73">(E127*265)/10^6</f>
        <v>1.824241005557143</v>
      </c>
      <c r="F131" s="105">
        <f t="shared" si="73"/>
        <v>1.824241005557143</v>
      </c>
      <c r="G131" s="105">
        <f t="shared" si="73"/>
        <v>1.824241005557143</v>
      </c>
      <c r="H131" s="105">
        <f t="shared" si="73"/>
        <v>1.824241005557143</v>
      </c>
      <c r="I131" s="105">
        <f t="shared" si="73"/>
        <v>1.824241005557143</v>
      </c>
      <c r="J131" s="105">
        <f t="shared" si="73"/>
        <v>1.824241005557143</v>
      </c>
      <c r="K131" s="105">
        <f t="shared" si="73"/>
        <v>1.824241005557143</v>
      </c>
      <c r="L131" s="105">
        <f t="shared" si="73"/>
        <v>1.824241005557143</v>
      </c>
      <c r="M131" s="105">
        <f t="shared" si="73"/>
        <v>1.824241005557143</v>
      </c>
      <c r="N131" s="105">
        <f t="shared" si="73"/>
        <v>1.824241005557143</v>
      </c>
      <c r="O131" s="621"/>
    </row>
    <row r="132" spans="1:16" ht="22.5" customHeight="1" x14ac:dyDescent="0.2">
      <c r="B132" s="615" t="s">
        <v>326</v>
      </c>
      <c r="C132" s="106" t="s">
        <v>164</v>
      </c>
      <c r="D132" s="105">
        <f>(D128*265)/10^6</f>
        <v>3.2106641697805709</v>
      </c>
      <c r="E132" s="105">
        <f t="shared" ref="E132:N132" si="74">(E128*265)/10^6</f>
        <v>3.2106641697805709</v>
      </c>
      <c r="F132" s="105">
        <f t="shared" si="74"/>
        <v>3.2106641697805709</v>
      </c>
      <c r="G132" s="105">
        <f t="shared" si="74"/>
        <v>3.2106641697805709</v>
      </c>
      <c r="H132" s="105">
        <f t="shared" si="74"/>
        <v>3.2106641697805709</v>
      </c>
      <c r="I132" s="105">
        <f t="shared" si="74"/>
        <v>3.2106641697805709</v>
      </c>
      <c r="J132" s="105">
        <f t="shared" si="74"/>
        <v>3.2106641697805709</v>
      </c>
      <c r="K132" s="105">
        <f t="shared" si="74"/>
        <v>3.2106641697805709</v>
      </c>
      <c r="L132" s="105">
        <f t="shared" si="74"/>
        <v>3.2106641697805709</v>
      </c>
      <c r="M132" s="105">
        <f t="shared" si="74"/>
        <v>3.2106641697805709</v>
      </c>
      <c r="N132" s="105">
        <f t="shared" si="74"/>
        <v>3.2106641697805709</v>
      </c>
      <c r="O132" s="621"/>
    </row>
    <row r="133" spans="1:16" ht="19" thickBot="1" x14ac:dyDescent="0.25">
      <c r="B133" s="622" t="s">
        <v>328</v>
      </c>
      <c r="C133" s="623" t="s">
        <v>329</v>
      </c>
      <c r="D133" s="624">
        <f>SUM(D130:D132)</f>
        <v>17.196511879052</v>
      </c>
      <c r="E133" s="624">
        <f>SUM(E130:E132)</f>
        <v>17.196511879052</v>
      </c>
      <c r="F133" s="624">
        <f t="shared" ref="F133" si="75">SUM(F130:F132)</f>
        <v>17.196511879052</v>
      </c>
      <c r="G133" s="624">
        <f t="shared" ref="G133" si="76">SUM(G130:G132)</f>
        <v>16.837744481292425</v>
      </c>
      <c r="H133" s="624">
        <f t="shared" ref="H133" si="77">SUM(H130:H132)</f>
        <v>16.478977083532858</v>
      </c>
      <c r="I133" s="624">
        <f t="shared" ref="I133" si="78">SUM(I130:I132)</f>
        <v>16.120209685773286</v>
      </c>
      <c r="J133" s="624">
        <f t="shared" ref="J133" si="79">SUM(J130:J132)</f>
        <v>15.259167931150316</v>
      </c>
      <c r="K133" s="624">
        <f t="shared" ref="K133" si="80">SUM(K130:K132)</f>
        <v>14.398126176527342</v>
      </c>
      <c r="L133" s="624">
        <f t="shared" ref="L133" si="81">SUM(L130:L132)</f>
        <v>13.537084421904371</v>
      </c>
      <c r="M133" s="624">
        <f t="shared" ref="M133" si="82">SUM(M130:M132)</f>
        <v>12.676042667281399</v>
      </c>
      <c r="N133" s="682">
        <f t="shared" ref="N133" si="83">SUM(N130:N132)</f>
        <v>11.81500091265843</v>
      </c>
      <c r="O133" s="626"/>
    </row>
    <row r="134" spans="1:16" customFormat="1" ht="17" thickBot="1" x14ac:dyDescent="0.25"/>
    <row r="135" spans="1:16" ht="19" thickBot="1" x14ac:dyDescent="0.25">
      <c r="B135" s="627" t="s">
        <v>628</v>
      </c>
      <c r="C135" s="607" t="s">
        <v>329</v>
      </c>
      <c r="D135" s="628">
        <f>D133</f>
        <v>17.196511879052</v>
      </c>
      <c r="E135" s="628">
        <f t="shared" ref="E135:M135" si="84">E133</f>
        <v>17.196511879052</v>
      </c>
      <c r="F135" s="628">
        <f t="shared" si="84"/>
        <v>17.196511879052</v>
      </c>
      <c r="G135" s="628">
        <f t="shared" si="84"/>
        <v>16.837744481292425</v>
      </c>
      <c r="H135" s="628">
        <f t="shared" si="84"/>
        <v>16.478977083532858</v>
      </c>
      <c r="I135" s="628">
        <f t="shared" si="84"/>
        <v>16.120209685773286</v>
      </c>
      <c r="J135" s="628">
        <f t="shared" si="84"/>
        <v>15.259167931150316</v>
      </c>
      <c r="K135" s="628">
        <f t="shared" si="84"/>
        <v>14.398126176527342</v>
      </c>
      <c r="L135" s="628">
        <f t="shared" si="84"/>
        <v>13.537084421904371</v>
      </c>
      <c r="M135" s="628">
        <f t="shared" si="84"/>
        <v>12.676042667281399</v>
      </c>
      <c r="N135" s="685">
        <f>N133</f>
        <v>11.81500091265843</v>
      </c>
      <c r="O135" s="630"/>
    </row>
    <row r="136" spans="1:16" x14ac:dyDescent="0.2">
      <c r="E136" s="56"/>
      <c r="F136" s="26"/>
      <c r="G136" s="26"/>
      <c r="H136" s="26"/>
      <c r="I136" s="26"/>
      <c r="J136" s="32"/>
      <c r="K136" s="26"/>
      <c r="L136" s="33"/>
      <c r="M136" s="26"/>
    </row>
    <row r="137" spans="1:16" x14ac:dyDescent="0.2">
      <c r="C137" s="39"/>
      <c r="D137" s="39"/>
      <c r="E137" s="39"/>
      <c r="F137" s="39"/>
      <c r="G137" s="39"/>
      <c r="H137" s="39"/>
      <c r="I137" s="39"/>
      <c r="J137" s="39"/>
      <c r="K137" s="39"/>
      <c r="L137" s="39"/>
      <c r="M137" s="39"/>
    </row>
    <row r="138" spans="1:16" s="317" customFormat="1" ht="21" customHeight="1" x14ac:dyDescent="0.2">
      <c r="A138" s="336">
        <v>5</v>
      </c>
      <c r="B138" s="346" t="s">
        <v>863</v>
      </c>
      <c r="C138" s="346"/>
      <c r="D138" s="346"/>
      <c r="E138" s="318"/>
      <c r="F138" s="318"/>
      <c r="G138" s="319"/>
      <c r="H138" s="320"/>
      <c r="I138" s="321"/>
      <c r="J138" s="322"/>
      <c r="K138" s="322"/>
      <c r="L138" s="321"/>
      <c r="M138" s="322"/>
      <c r="N138" s="323"/>
      <c r="O138" s="323"/>
    </row>
    <row r="139" spans="1:16" customFormat="1" ht="29.25" customHeight="1" x14ac:dyDescent="0.2">
      <c r="A139" s="1"/>
      <c r="B139" s="417" t="s">
        <v>838</v>
      </c>
      <c r="C139" s="417"/>
      <c r="D139" s="417"/>
      <c r="E139" s="417"/>
      <c r="F139" s="417"/>
      <c r="O139" s="18"/>
      <c r="P139" s="24"/>
    </row>
    <row r="140" spans="1:16" s="42" customFormat="1" ht="18" customHeight="1" x14ac:dyDescent="0.2">
      <c r="A140" s="17"/>
      <c r="B140" s="409" t="s">
        <v>740</v>
      </c>
      <c r="C140" s="374"/>
      <c r="D140" s="374"/>
      <c r="E140" s="374"/>
      <c r="F140" s="374"/>
      <c r="G140" s="374"/>
      <c r="O140" s="17"/>
    </row>
    <row r="141" spans="1:16" customFormat="1" x14ac:dyDescent="0.2">
      <c r="A141" s="1"/>
      <c r="B141" s="409" t="s">
        <v>741</v>
      </c>
    </row>
    <row r="142" spans="1:16" ht="17" thickBot="1" x14ac:dyDescent="0.25">
      <c r="C142" s="37"/>
      <c r="D142" s="63"/>
      <c r="E142" s="63"/>
      <c r="F142" s="61"/>
      <c r="G142" s="61"/>
      <c r="H142" s="61"/>
      <c r="I142" s="61"/>
      <c r="J142" s="61"/>
      <c r="K142" s="61"/>
      <c r="L142" s="61"/>
      <c r="M142" s="61"/>
    </row>
    <row r="143" spans="1:16" ht="18" x14ac:dyDescent="0.2">
      <c r="B143" s="688" t="s">
        <v>634</v>
      </c>
      <c r="C143" s="689" t="s">
        <v>120</v>
      </c>
      <c r="D143" s="690" t="s">
        <v>121</v>
      </c>
      <c r="E143" s="691" t="s">
        <v>118</v>
      </c>
      <c r="F143" s="692" t="s">
        <v>119</v>
      </c>
      <c r="G143" s="64"/>
      <c r="H143" s="64"/>
      <c r="I143" s="64"/>
      <c r="J143" s="64"/>
      <c r="K143" s="64"/>
      <c r="L143" s="64"/>
      <c r="M143" s="64"/>
    </row>
    <row r="144" spans="1:16" ht="20" thickBot="1" x14ac:dyDescent="0.25">
      <c r="B144" s="848" t="s">
        <v>864</v>
      </c>
      <c r="C144" s="849">
        <v>17.196511879052</v>
      </c>
      <c r="D144" s="850">
        <v>17.196511879052</v>
      </c>
      <c r="E144" s="853" t="s">
        <v>332</v>
      </c>
      <c r="F144" s="854" t="s">
        <v>332</v>
      </c>
      <c r="G144" s="61"/>
      <c r="H144" s="61"/>
      <c r="I144" s="61"/>
      <c r="J144" s="61"/>
      <c r="K144" s="61"/>
      <c r="L144" s="61"/>
      <c r="M144" s="61"/>
    </row>
    <row r="145" spans="2:14" x14ac:dyDescent="0.2">
      <c r="G145" s="60"/>
      <c r="H145" s="60"/>
      <c r="I145" s="60"/>
      <c r="J145" s="60"/>
      <c r="K145" s="60"/>
      <c r="L145" s="60"/>
      <c r="M145" s="60"/>
    </row>
    <row r="146" spans="2:14" x14ac:dyDescent="0.2">
      <c r="G146" s="58"/>
      <c r="H146" s="58"/>
      <c r="I146" s="58"/>
      <c r="J146" s="58"/>
      <c r="K146" s="58"/>
      <c r="L146" s="58"/>
      <c r="M146" s="58"/>
    </row>
    <row r="147" spans="2:14" x14ac:dyDescent="0.2">
      <c r="G147" s="65"/>
      <c r="H147" s="65"/>
      <c r="I147" s="65"/>
      <c r="J147" s="65"/>
      <c r="K147" s="65"/>
      <c r="L147" s="65"/>
      <c r="M147" s="65"/>
    </row>
    <row r="148" spans="2:14" x14ac:dyDescent="0.2">
      <c r="I148" s="65"/>
      <c r="J148" s="65"/>
      <c r="K148" s="65"/>
      <c r="L148" s="65"/>
      <c r="M148" s="65"/>
      <c r="N148" s="40"/>
    </row>
    <row r="149" spans="2:14" x14ac:dyDescent="0.2">
      <c r="F149" s="8"/>
      <c r="G149" s="8"/>
      <c r="H149" s="8"/>
    </row>
    <row r="150" spans="2:14" x14ac:dyDescent="0.2">
      <c r="B150" s="26"/>
    </row>
    <row r="151" spans="2:14" x14ac:dyDescent="0.2">
      <c r="B151" s="26"/>
    </row>
    <row r="152" spans="2:14" x14ac:dyDescent="0.2">
      <c r="B152" s="26"/>
      <c r="G152" s="41"/>
    </row>
    <row r="153" spans="2:14" x14ac:dyDescent="0.2">
      <c r="B153" s="26"/>
    </row>
    <row r="154" spans="2:14" x14ac:dyDescent="0.2">
      <c r="B154" s="26"/>
      <c r="D154" s="66"/>
    </row>
    <row r="171" spans="2:6" ht="17" thickBot="1" x14ac:dyDescent="0.25"/>
    <row r="172" spans="2:6" ht="18" x14ac:dyDescent="0.2">
      <c r="B172" s="688" t="s">
        <v>684</v>
      </c>
      <c r="C172" s="689" t="s">
        <v>120</v>
      </c>
      <c r="D172" s="690" t="s">
        <v>121</v>
      </c>
      <c r="E172" s="691" t="s">
        <v>118</v>
      </c>
      <c r="F172" s="692" t="s">
        <v>119</v>
      </c>
    </row>
    <row r="173" spans="2:6" ht="20" thickBot="1" x14ac:dyDescent="0.25">
      <c r="B173" s="848" t="s">
        <v>864</v>
      </c>
      <c r="C173" s="849">
        <v>17.196511879052</v>
      </c>
      <c r="D173" s="850">
        <v>13.608837901456287</v>
      </c>
      <c r="E173" s="851">
        <v>-0.20862800565770856</v>
      </c>
      <c r="F173" s="852">
        <v>3.5876739775957134</v>
      </c>
    </row>
    <row r="185" spans="7:7" x14ac:dyDescent="0.2">
      <c r="G185"/>
    </row>
  </sheetData>
  <mergeCells count="10">
    <mergeCell ref="B2:G2"/>
    <mergeCell ref="B9:F9"/>
    <mergeCell ref="B32:B38"/>
    <mergeCell ref="C24:F24"/>
    <mergeCell ref="B24:B25"/>
    <mergeCell ref="B14:B15"/>
    <mergeCell ref="C14:C15"/>
    <mergeCell ref="D14:D15"/>
    <mergeCell ref="E14:E15"/>
    <mergeCell ref="F14:F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A58D2-50D2-4FCA-9747-C7514B5F93D3}">
  <sheetPr>
    <tabColor rgb="FFFBEBD9"/>
  </sheetPr>
  <dimension ref="A1:I39"/>
  <sheetViews>
    <sheetView showGridLines="0" tabSelected="1" topLeftCell="A24" workbookViewId="0">
      <selection activeCell="H30" sqref="H30"/>
    </sheetView>
  </sheetViews>
  <sheetFormatPr baseColWidth="10" defaultColWidth="11" defaultRowHeight="13" x14ac:dyDescent="0.15"/>
  <cols>
    <col min="1" max="1" width="7.6640625" style="160" customWidth="1"/>
    <col min="2" max="2" width="35" style="210" customWidth="1"/>
    <col min="3" max="3" width="30.83203125" style="247" customWidth="1"/>
    <col min="4" max="4" width="33" style="247" customWidth="1"/>
    <col min="5" max="5" width="30.83203125" style="211" customWidth="1"/>
    <col min="6" max="6" width="26.83203125" style="211" bestFit="1" customWidth="1"/>
    <col min="7" max="16384" width="11" style="206"/>
  </cols>
  <sheetData>
    <row r="1" spans="1:9" s="194" customFormat="1" ht="35" customHeight="1" x14ac:dyDescent="0.15">
      <c r="A1" s="359"/>
      <c r="B1" s="403" t="s">
        <v>685</v>
      </c>
      <c r="C1" s="403"/>
      <c r="D1" s="403"/>
      <c r="E1" s="403"/>
      <c r="F1" s="403"/>
    </row>
    <row r="2" spans="1:9" s="9" customFormat="1" ht="74.25" customHeight="1" x14ac:dyDescent="0.2">
      <c r="B2" s="884" t="s">
        <v>795</v>
      </c>
      <c r="C2" s="884"/>
      <c r="D2" s="884"/>
      <c r="E2" s="884"/>
      <c r="F2" s="884"/>
      <c r="I2" s="77"/>
    </row>
    <row r="3" spans="1:9" customFormat="1" ht="18" x14ac:dyDescent="0.2">
      <c r="A3" s="1"/>
      <c r="B3" s="535" t="s">
        <v>839</v>
      </c>
      <c r="C3" s="247"/>
      <c r="D3" s="978" t="s">
        <v>866</v>
      </c>
      <c r="E3" s="374"/>
      <c r="F3" s="374"/>
      <c r="G3" s="374"/>
    </row>
    <row r="4" spans="1:9" s="9" customFormat="1" ht="16" x14ac:dyDescent="0.2">
      <c r="B4" s="374"/>
      <c r="C4" s="374"/>
      <c r="D4" s="374"/>
      <c r="E4" s="374"/>
      <c r="F4" s="374"/>
      <c r="I4" s="77"/>
    </row>
    <row r="5" spans="1:9" s="194" customFormat="1" ht="18" customHeight="1" x14ac:dyDescent="0.15">
      <c r="A5" s="377">
        <v>1</v>
      </c>
      <c r="B5" s="914" t="s">
        <v>184</v>
      </c>
      <c r="C5" s="914"/>
      <c r="D5" s="914"/>
      <c r="E5" s="914"/>
      <c r="F5" s="914"/>
    </row>
    <row r="6" spans="1:9" s="194" customFormat="1" ht="23.25" customHeight="1" x14ac:dyDescent="0.15">
      <c r="A6" s="916" t="s">
        <v>335</v>
      </c>
      <c r="B6" s="916"/>
      <c r="C6" s="916"/>
      <c r="D6" s="916"/>
      <c r="E6" s="916"/>
      <c r="F6" s="916"/>
    </row>
    <row r="7" spans="1:9" s="194" customFormat="1" ht="30.75" customHeight="1" x14ac:dyDescent="0.15">
      <c r="A7" s="210"/>
      <c r="B7" s="251" t="s">
        <v>185</v>
      </c>
      <c r="C7" s="252" t="s">
        <v>186</v>
      </c>
      <c r="D7" s="252" t="s">
        <v>187</v>
      </c>
      <c r="E7" s="251" t="s">
        <v>188</v>
      </c>
      <c r="F7" s="251" t="s">
        <v>189</v>
      </c>
    </row>
    <row r="8" spans="1:9" ht="98" x14ac:dyDescent="0.15">
      <c r="B8" s="208" t="s">
        <v>336</v>
      </c>
      <c r="C8" s="214" t="s">
        <v>337</v>
      </c>
      <c r="D8" s="214" t="s">
        <v>694</v>
      </c>
      <c r="E8" s="921" t="s">
        <v>232</v>
      </c>
      <c r="F8" s="941" t="s">
        <v>707</v>
      </c>
    </row>
    <row r="9" spans="1:9" ht="49.5" customHeight="1" x14ac:dyDescent="0.15">
      <c r="B9" s="208" t="s">
        <v>338</v>
      </c>
      <c r="C9" s="939" t="s">
        <v>339</v>
      </c>
      <c r="D9" s="214" t="s">
        <v>694</v>
      </c>
      <c r="E9" s="922"/>
      <c r="F9" s="941"/>
    </row>
    <row r="10" spans="1:9" ht="68" customHeight="1" x14ac:dyDescent="0.15">
      <c r="B10" s="209" t="s">
        <v>340</v>
      </c>
      <c r="C10" s="942"/>
      <c r="D10" s="214" t="s">
        <v>694</v>
      </c>
      <c r="E10" s="922"/>
      <c r="F10" s="941"/>
    </row>
    <row r="11" spans="1:9" ht="68" customHeight="1" x14ac:dyDescent="0.15">
      <c r="B11" s="208" t="s">
        <v>341</v>
      </c>
      <c r="C11" s="940"/>
      <c r="D11" s="943" t="s">
        <v>342</v>
      </c>
      <c r="E11" s="922"/>
      <c r="F11" s="941"/>
    </row>
    <row r="12" spans="1:9" ht="39" customHeight="1" x14ac:dyDescent="0.15">
      <c r="B12" s="208" t="s">
        <v>343</v>
      </c>
      <c r="C12" s="939" t="s">
        <v>344</v>
      </c>
      <c r="D12" s="944"/>
      <c r="E12" s="922"/>
      <c r="F12" s="941"/>
    </row>
    <row r="13" spans="1:9" ht="54.75" customHeight="1" x14ac:dyDescent="0.15">
      <c r="B13" s="208" t="s">
        <v>345</v>
      </c>
      <c r="C13" s="942"/>
      <c r="D13" s="944"/>
      <c r="E13" s="922"/>
      <c r="F13" s="941"/>
    </row>
    <row r="14" spans="1:9" ht="65.25" customHeight="1" x14ac:dyDescent="0.15">
      <c r="B14" s="208" t="s">
        <v>346</v>
      </c>
      <c r="C14" s="940"/>
      <c r="D14" s="945"/>
      <c r="E14" s="922"/>
      <c r="F14" s="941"/>
    </row>
    <row r="15" spans="1:9" ht="68" customHeight="1" x14ac:dyDescent="0.15">
      <c r="B15" s="208" t="s">
        <v>347</v>
      </c>
      <c r="C15" s="280" t="s">
        <v>339</v>
      </c>
      <c r="D15" s="248" t="s">
        <v>348</v>
      </c>
      <c r="E15" s="922"/>
      <c r="F15" s="941"/>
    </row>
    <row r="16" spans="1:9" ht="112.5" customHeight="1" x14ac:dyDescent="0.15">
      <c r="B16" s="208" t="s">
        <v>706</v>
      </c>
      <c r="C16" s="214" t="s">
        <v>349</v>
      </c>
      <c r="D16" s="248" t="s">
        <v>350</v>
      </c>
      <c r="E16" s="923"/>
      <c r="F16" s="941"/>
    </row>
    <row r="17" spans="1:6" ht="57" customHeight="1" x14ac:dyDescent="0.15">
      <c r="B17" s="208" t="s">
        <v>705</v>
      </c>
      <c r="C17" s="280" t="s">
        <v>351</v>
      </c>
      <c r="D17" s="280" t="s">
        <v>695</v>
      </c>
      <c r="E17" s="921" t="s">
        <v>192</v>
      </c>
      <c r="F17" s="941"/>
    </row>
    <row r="18" spans="1:6" ht="57.75" customHeight="1" x14ac:dyDescent="0.15">
      <c r="B18" s="209" t="s">
        <v>704</v>
      </c>
      <c r="C18" s="280" t="s">
        <v>352</v>
      </c>
      <c r="D18" s="280" t="s">
        <v>695</v>
      </c>
      <c r="E18" s="922"/>
      <c r="F18" s="941"/>
    </row>
    <row r="19" spans="1:6" ht="70.5" customHeight="1" x14ac:dyDescent="0.15">
      <c r="A19" s="213"/>
      <c r="B19" s="209" t="s">
        <v>703</v>
      </c>
      <c r="C19" s="939" t="s">
        <v>353</v>
      </c>
      <c r="D19" s="939" t="s">
        <v>796</v>
      </c>
      <c r="E19" s="922"/>
      <c r="F19" s="941"/>
    </row>
    <row r="20" spans="1:6" ht="80.25" customHeight="1" x14ac:dyDescent="0.15">
      <c r="A20" s="207"/>
      <c r="B20" s="209" t="s">
        <v>702</v>
      </c>
      <c r="C20" s="942"/>
      <c r="D20" s="942"/>
      <c r="E20" s="922"/>
      <c r="F20" s="941"/>
    </row>
    <row r="21" spans="1:6" ht="58.5" customHeight="1" x14ac:dyDescent="0.15">
      <c r="B21" s="209" t="s">
        <v>701</v>
      </c>
      <c r="C21" s="940"/>
      <c r="D21" s="942"/>
      <c r="E21" s="922"/>
      <c r="F21" s="941"/>
    </row>
    <row r="22" spans="1:6" ht="60" customHeight="1" x14ac:dyDescent="0.15">
      <c r="B22" s="209" t="s">
        <v>354</v>
      </c>
      <c r="C22" s="280" t="s">
        <v>353</v>
      </c>
      <c r="D22" s="942"/>
      <c r="E22" s="922"/>
      <c r="F22" s="941"/>
    </row>
    <row r="23" spans="1:6" ht="50.25" customHeight="1" x14ac:dyDescent="0.15">
      <c r="B23" s="208" t="s">
        <v>700</v>
      </c>
      <c r="C23" s="281"/>
      <c r="D23" s="940"/>
      <c r="E23" s="922"/>
      <c r="F23" s="941"/>
    </row>
    <row r="24" spans="1:6" ht="126" x14ac:dyDescent="0.15">
      <c r="B24" s="208" t="s">
        <v>355</v>
      </c>
      <c r="C24" s="214" t="s">
        <v>797</v>
      </c>
      <c r="D24" s="214" t="s">
        <v>356</v>
      </c>
      <c r="E24" s="922"/>
      <c r="F24" s="279" t="s">
        <v>693</v>
      </c>
    </row>
    <row r="25" spans="1:6" ht="70" x14ac:dyDescent="0.15">
      <c r="B25" s="208" t="s">
        <v>357</v>
      </c>
      <c r="C25" s="214" t="s">
        <v>358</v>
      </c>
      <c r="D25" s="214" t="s">
        <v>356</v>
      </c>
      <c r="E25" s="923"/>
      <c r="F25" s="279" t="s">
        <v>693</v>
      </c>
    </row>
    <row r="26" spans="1:6" ht="30" x14ac:dyDescent="0.15">
      <c r="B26" s="215" t="s">
        <v>699</v>
      </c>
      <c r="C26" s="215" t="s">
        <v>359</v>
      </c>
      <c r="D26" s="215" t="s">
        <v>696</v>
      </c>
      <c r="E26" s="217" t="s">
        <v>360</v>
      </c>
      <c r="F26" s="279" t="s">
        <v>693</v>
      </c>
    </row>
    <row r="27" spans="1:6" ht="30" x14ac:dyDescent="0.15">
      <c r="B27" s="215" t="s">
        <v>698</v>
      </c>
      <c r="C27" s="215" t="s">
        <v>361</v>
      </c>
      <c r="D27" s="215" t="s">
        <v>697</v>
      </c>
      <c r="E27" s="217" t="s">
        <v>360</v>
      </c>
      <c r="F27" s="279" t="s">
        <v>590</v>
      </c>
    </row>
    <row r="28" spans="1:6" ht="42" x14ac:dyDescent="0.15">
      <c r="B28" s="208" t="s">
        <v>690</v>
      </c>
      <c r="C28" s="214" t="s">
        <v>203</v>
      </c>
      <c r="D28" s="215" t="s">
        <v>691</v>
      </c>
      <c r="E28" s="279" t="s">
        <v>205</v>
      </c>
      <c r="F28" s="279" t="s">
        <v>692</v>
      </c>
    </row>
    <row r="29" spans="1:6" x14ac:dyDescent="0.15">
      <c r="E29" s="249"/>
    </row>
    <row r="30" spans="1:6" s="194" customFormat="1" ht="27.75" customHeight="1" x14ac:dyDescent="0.15">
      <c r="A30" s="377">
        <v>2</v>
      </c>
      <c r="B30" s="914" t="s">
        <v>229</v>
      </c>
      <c r="C30" s="914"/>
      <c r="D30" s="914"/>
      <c r="E30" s="914"/>
      <c r="F30" s="914"/>
    </row>
    <row r="31" spans="1:6" s="194" customFormat="1" ht="23.25" customHeight="1" x14ac:dyDescent="0.15">
      <c r="A31" s="916" t="s">
        <v>335</v>
      </c>
      <c r="B31" s="916"/>
      <c r="C31" s="916"/>
      <c r="D31" s="916"/>
      <c r="E31" s="916"/>
      <c r="F31" s="916"/>
    </row>
    <row r="32" spans="1:6" s="194" customFormat="1" ht="46.5" customHeight="1" x14ac:dyDescent="0.15">
      <c r="A32" s="210"/>
      <c r="B32" s="251" t="s">
        <v>185</v>
      </c>
      <c r="C32" s="252" t="s">
        <v>186</v>
      </c>
      <c r="D32" s="252" t="s">
        <v>187</v>
      </c>
      <c r="E32" s="251" t="s">
        <v>188</v>
      </c>
      <c r="F32" s="251" t="s">
        <v>189</v>
      </c>
    </row>
    <row r="33" spans="1:6" ht="119" customHeight="1" x14ac:dyDescent="0.15">
      <c r="B33" s="209" t="s">
        <v>688</v>
      </c>
      <c r="C33" s="939" t="s">
        <v>798</v>
      </c>
      <c r="D33" s="939" t="s">
        <v>687</v>
      </c>
      <c r="E33" s="921" t="s">
        <v>197</v>
      </c>
      <c r="F33" s="941" t="s">
        <v>686</v>
      </c>
    </row>
    <row r="34" spans="1:6" ht="154.5" customHeight="1" x14ac:dyDescent="0.15">
      <c r="B34" s="208" t="s">
        <v>689</v>
      </c>
      <c r="C34" s="940"/>
      <c r="D34" s="940"/>
      <c r="E34" s="922"/>
      <c r="F34" s="941"/>
    </row>
    <row r="35" spans="1:6" s="234" customFormat="1" ht="28" x14ac:dyDescent="0.15">
      <c r="A35" s="274"/>
      <c r="B35" s="209" t="s">
        <v>362</v>
      </c>
      <c r="C35" s="215" t="s">
        <v>363</v>
      </c>
      <c r="D35" s="215" t="s">
        <v>364</v>
      </c>
      <c r="E35" s="922"/>
      <c r="F35" s="217" t="s">
        <v>365</v>
      </c>
    </row>
    <row r="36" spans="1:6" s="234" customFormat="1" ht="27.75" customHeight="1" x14ac:dyDescent="0.15">
      <c r="A36" s="274"/>
      <c r="B36" s="209" t="s">
        <v>366</v>
      </c>
      <c r="C36" s="215" t="s">
        <v>363</v>
      </c>
      <c r="D36" s="215" t="s">
        <v>364</v>
      </c>
      <c r="E36" s="922"/>
      <c r="F36" s="217" t="s">
        <v>365</v>
      </c>
    </row>
    <row r="37" spans="1:6" s="234" customFormat="1" ht="30" customHeight="1" x14ac:dyDescent="0.15">
      <c r="A37" s="274"/>
      <c r="B37" s="209" t="s">
        <v>799</v>
      </c>
      <c r="C37" s="215" t="s">
        <v>363</v>
      </c>
      <c r="D37" s="215" t="s">
        <v>364</v>
      </c>
      <c r="E37" s="922"/>
      <c r="F37" s="217" t="s">
        <v>365</v>
      </c>
    </row>
    <row r="38" spans="1:6" s="234" customFormat="1" ht="28" x14ac:dyDescent="0.15">
      <c r="A38" s="274"/>
      <c r="B38" s="209" t="s">
        <v>800</v>
      </c>
      <c r="C38" s="215" t="s">
        <v>363</v>
      </c>
      <c r="D38" s="215" t="s">
        <v>364</v>
      </c>
      <c r="E38" s="922"/>
      <c r="F38" s="217" t="s">
        <v>365</v>
      </c>
    </row>
    <row r="39" spans="1:6" s="234" customFormat="1" ht="30.75" customHeight="1" x14ac:dyDescent="0.15">
      <c r="A39" s="274"/>
      <c r="B39" s="209" t="s">
        <v>367</v>
      </c>
      <c r="C39" s="215" t="s">
        <v>363</v>
      </c>
      <c r="D39" s="215" t="s">
        <v>364</v>
      </c>
      <c r="E39" s="923"/>
      <c r="F39" s="217" t="s">
        <v>365</v>
      </c>
    </row>
  </sheetData>
  <mergeCells count="17">
    <mergeCell ref="B2:F2"/>
    <mergeCell ref="A6:F6"/>
    <mergeCell ref="A31:F31"/>
    <mergeCell ref="F8:F23"/>
    <mergeCell ref="B30:F30"/>
    <mergeCell ref="B5:F5"/>
    <mergeCell ref="D33:D34"/>
    <mergeCell ref="F33:F34"/>
    <mergeCell ref="E33:E39"/>
    <mergeCell ref="C33:C34"/>
    <mergeCell ref="C9:C11"/>
    <mergeCell ref="C12:C14"/>
    <mergeCell ref="D11:D14"/>
    <mergeCell ref="E8:E16"/>
    <mergeCell ref="E17:E25"/>
    <mergeCell ref="D19:D23"/>
    <mergeCell ref="C19:C2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C0FF6-E542-4664-8D51-24293785AF35}">
  <sheetPr>
    <tabColor rgb="FF404040"/>
  </sheetPr>
  <dimension ref="A1:AX249"/>
  <sheetViews>
    <sheetView showGridLines="0" zoomScaleNormal="100" workbookViewId="0"/>
  </sheetViews>
  <sheetFormatPr baseColWidth="10" defaultColWidth="8.83203125" defaultRowHeight="16" x14ac:dyDescent="0.2"/>
  <cols>
    <col min="1" max="1" width="7.6640625" style="435" customWidth="1"/>
    <col min="2" max="2" width="17" style="435" customWidth="1"/>
    <col min="3" max="3" width="31.5" style="435" customWidth="1"/>
    <col min="4" max="4" width="34.33203125" style="435" customWidth="1"/>
    <col min="5" max="5" width="22.1640625" style="454" bestFit="1" customWidth="1"/>
    <col min="6" max="6" width="25.5" style="435" customWidth="1"/>
    <col min="7" max="7" width="18.6640625" style="435" bestFit="1" customWidth="1"/>
    <col min="8" max="45" width="13.6640625" style="435" bestFit="1" customWidth="1"/>
    <col min="46" max="46" width="14.1640625" style="435" bestFit="1" customWidth="1"/>
    <col min="47" max="48" width="14.1640625" style="435" customWidth="1"/>
    <col min="49" max="49" width="66.5" style="435" customWidth="1"/>
    <col min="50" max="50" width="8.83203125" style="9"/>
    <col min="51" max="16384" width="8.83203125" style="435"/>
  </cols>
  <sheetData>
    <row r="1" spans="1:50" ht="35" customHeight="1" x14ac:dyDescent="0.2">
      <c r="A1" s="427"/>
      <c r="B1" s="428" t="s">
        <v>368</v>
      </c>
      <c r="C1" s="429"/>
      <c r="D1" s="429"/>
      <c r="E1" s="430"/>
      <c r="F1" s="430"/>
      <c r="G1" s="430"/>
      <c r="H1" s="431"/>
      <c r="I1" s="432"/>
      <c r="J1" s="433"/>
      <c r="K1" s="433"/>
      <c r="L1" s="432"/>
      <c r="M1" s="433"/>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4"/>
    </row>
    <row r="2" spans="1:50" s="763" customFormat="1" ht="55.5" customHeight="1" x14ac:dyDescent="0.2">
      <c r="A2" s="761"/>
      <c r="B2" s="947" t="s">
        <v>865</v>
      </c>
      <c r="C2" s="947"/>
      <c r="D2" s="947"/>
      <c r="E2" s="947"/>
      <c r="F2" s="947"/>
      <c r="G2" s="947"/>
      <c r="AX2" s="764"/>
    </row>
    <row r="3" spans="1:50" customFormat="1" x14ac:dyDescent="0.2">
      <c r="A3" s="1"/>
      <c r="B3" s="535" t="s">
        <v>818</v>
      </c>
      <c r="C3" s="435"/>
      <c r="D3" s="535" t="s">
        <v>858</v>
      </c>
      <c r="E3" s="374"/>
      <c r="F3" s="374"/>
      <c r="G3" s="374"/>
    </row>
    <row r="4" spans="1:50" customFormat="1" x14ac:dyDescent="0.2">
      <c r="A4" s="1"/>
      <c r="B4" s="535" t="s">
        <v>819</v>
      </c>
      <c r="C4" s="435"/>
      <c r="D4" s="847" t="s">
        <v>862</v>
      </c>
      <c r="E4" s="374"/>
      <c r="F4" s="374"/>
      <c r="G4" s="374"/>
    </row>
    <row r="5" spans="1:50" customFormat="1" x14ac:dyDescent="0.2">
      <c r="A5" s="1"/>
      <c r="B5" s="535" t="s">
        <v>859</v>
      </c>
      <c r="C5" s="374"/>
      <c r="D5" s="374"/>
      <c r="E5" s="374"/>
      <c r="F5" s="374"/>
      <c r="G5" s="374"/>
    </row>
    <row r="6" spans="1:50" s="763" customFormat="1" x14ac:dyDescent="0.2">
      <c r="A6" s="761"/>
      <c r="B6" s="762"/>
      <c r="C6" s="762"/>
      <c r="D6" s="762"/>
      <c r="E6" s="762"/>
      <c r="F6" s="762"/>
      <c r="G6" s="762"/>
      <c r="AX6" s="764"/>
    </row>
    <row r="7" spans="1:50" s="445" customFormat="1" ht="18" x14ac:dyDescent="0.2">
      <c r="A7" s="437">
        <v>1</v>
      </c>
      <c r="B7" s="438" t="s">
        <v>622</v>
      </c>
      <c r="C7" s="439"/>
      <c r="D7" s="439"/>
      <c r="E7" s="439"/>
      <c r="F7" s="439"/>
      <c r="G7" s="440"/>
      <c r="H7" s="441"/>
      <c r="I7" s="442"/>
      <c r="J7" s="443"/>
      <c r="K7" s="443"/>
      <c r="L7" s="442"/>
      <c r="M7" s="443"/>
      <c r="N7" s="444"/>
      <c r="O7" s="444"/>
      <c r="P7" s="444"/>
      <c r="Q7" s="444"/>
      <c r="R7" s="444"/>
      <c r="S7" s="444"/>
      <c r="T7" s="444"/>
      <c r="U7" s="444"/>
      <c r="V7" s="444"/>
      <c r="W7" s="444"/>
      <c r="X7" s="444"/>
      <c r="Y7" s="444"/>
      <c r="Z7" s="444"/>
      <c r="AA7" s="444"/>
      <c r="AB7" s="444"/>
      <c r="AC7" s="444"/>
      <c r="AD7" s="444"/>
      <c r="AE7" s="444"/>
      <c r="AF7" s="444"/>
      <c r="AG7" s="444"/>
      <c r="AH7" s="444"/>
      <c r="AI7" s="444"/>
      <c r="AJ7" s="444"/>
      <c r="AK7" s="444"/>
      <c r="AL7" s="444"/>
      <c r="AM7" s="444"/>
      <c r="AN7" s="444"/>
      <c r="AO7" s="444"/>
      <c r="AP7" s="444"/>
      <c r="AQ7" s="444"/>
      <c r="AR7" s="444"/>
      <c r="AS7" s="444"/>
      <c r="AT7" s="444"/>
      <c r="AU7" s="444"/>
      <c r="AV7" s="444"/>
      <c r="AW7" s="444"/>
      <c r="AX7" s="317"/>
    </row>
    <row r="8" spans="1:50" s="436" customFormat="1" ht="23.25" customHeight="1" x14ac:dyDescent="0.2">
      <c r="B8" s="946" t="s">
        <v>803</v>
      </c>
      <c r="C8" s="946"/>
      <c r="D8" s="946"/>
      <c r="E8" s="946"/>
      <c r="F8" s="946"/>
      <c r="G8" s="446"/>
      <c r="AX8"/>
    </row>
    <row r="9" spans="1:50" s="436" customFormat="1" x14ac:dyDescent="0.2">
      <c r="B9" s="447" t="s">
        <v>743</v>
      </c>
      <c r="AX9"/>
    </row>
    <row r="10" spans="1:50" s="436" customFormat="1" x14ac:dyDescent="0.2">
      <c r="B10" s="447" t="s">
        <v>804</v>
      </c>
      <c r="AX10"/>
    </row>
    <row r="11" spans="1:50" s="436" customFormat="1" ht="17" thickBot="1" x14ac:dyDescent="0.25">
      <c r="B11" s="447"/>
      <c r="AX11"/>
    </row>
    <row r="12" spans="1:50" s="454" customFormat="1" ht="27.75" customHeight="1" x14ac:dyDescent="0.2">
      <c r="A12" s="448"/>
      <c r="B12" s="728" t="s">
        <v>117</v>
      </c>
      <c r="C12" s="729" t="s">
        <v>614</v>
      </c>
      <c r="D12" s="729" t="s">
        <v>615</v>
      </c>
      <c r="E12" s="729" t="s">
        <v>616</v>
      </c>
      <c r="F12" s="730" t="s">
        <v>631</v>
      </c>
      <c r="G12" s="731" t="s">
        <v>840</v>
      </c>
      <c r="H12" s="449"/>
      <c r="I12" s="449"/>
      <c r="J12" s="450"/>
      <c r="K12" s="451"/>
      <c r="L12" s="451"/>
      <c r="M12" s="450"/>
      <c r="N12" s="451"/>
      <c r="O12" s="452"/>
      <c r="P12" s="453"/>
      <c r="AX12" s="24"/>
    </row>
    <row r="13" spans="1:50" s="454" customFormat="1" ht="18" x14ac:dyDescent="0.2">
      <c r="A13" s="455"/>
      <c r="B13" s="732" t="s">
        <v>123</v>
      </c>
      <c r="C13" s="456">
        <f>F123</f>
        <v>1202639.7319999998</v>
      </c>
      <c r="D13" s="456">
        <f>Z123</f>
        <v>1209658.0842886399</v>
      </c>
      <c r="E13" s="456">
        <f>AT123</f>
        <v>1223026.3743622415</v>
      </c>
      <c r="F13" s="457"/>
      <c r="G13" s="733"/>
      <c r="H13" s="458"/>
      <c r="I13" s="450"/>
      <c r="J13" s="450"/>
      <c r="K13" s="451"/>
      <c r="L13" s="451"/>
      <c r="M13" s="450"/>
      <c r="N13" s="451"/>
      <c r="O13" s="452"/>
      <c r="P13" s="453"/>
      <c r="AX13" s="24"/>
    </row>
    <row r="14" spans="1:50" s="454" customFormat="1" ht="18" x14ac:dyDescent="0.2">
      <c r="A14" s="455"/>
      <c r="B14" s="732" t="s">
        <v>801</v>
      </c>
      <c r="C14" s="456">
        <f>F204</f>
        <v>1202639.7319999998</v>
      </c>
      <c r="D14" s="456">
        <f>Z204</f>
        <v>1249577.6427778238</v>
      </c>
      <c r="E14" s="456"/>
      <c r="F14" s="459">
        <f>(D14-C14)/C14</f>
        <v>3.9029070409777551E-2</v>
      </c>
      <c r="G14" s="734">
        <f>SUM(F203:Z203)-SUM(F122:Z122)</f>
        <v>-146.37171446034088</v>
      </c>
      <c r="H14" s="460"/>
      <c r="I14" s="450"/>
      <c r="J14" s="450"/>
      <c r="K14" s="451"/>
      <c r="L14" s="451"/>
      <c r="M14" s="450"/>
      <c r="N14" s="451"/>
      <c r="O14" s="452"/>
      <c r="P14" s="453"/>
      <c r="AX14" s="24"/>
    </row>
    <row r="15" spans="1:50" s="454" customFormat="1" ht="19" thickBot="1" x14ac:dyDescent="0.25">
      <c r="A15" s="455"/>
      <c r="B15" s="735" t="s">
        <v>802</v>
      </c>
      <c r="C15" s="736"/>
      <c r="D15" s="736">
        <f>Z204</f>
        <v>1249577.6427778238</v>
      </c>
      <c r="E15" s="736">
        <f>AT204</f>
        <v>1302065.0162366887</v>
      </c>
      <c r="F15" s="737">
        <f>(E15-C13)/C13</f>
        <v>8.2672542400826721E-2</v>
      </c>
      <c r="G15" s="738">
        <f>SUM(AA203:AT203)-SUM(AA122:AT122)</f>
        <v>-143.43663907930394</v>
      </c>
      <c r="H15" s="460"/>
      <c r="I15" s="436"/>
      <c r="J15" s="451"/>
      <c r="K15" s="451"/>
      <c r="L15" s="450"/>
      <c r="M15" s="451"/>
      <c r="N15" s="452"/>
      <c r="O15" s="453"/>
      <c r="AX15" s="24"/>
    </row>
    <row r="16" spans="1:50" s="454" customFormat="1" ht="18" x14ac:dyDescent="0.2">
      <c r="A16" s="455"/>
      <c r="C16" s="461"/>
      <c r="D16" s="461"/>
      <c r="E16" s="461"/>
      <c r="F16" s="462"/>
      <c r="G16" s="463"/>
      <c r="H16" s="436"/>
      <c r="I16" s="436"/>
      <c r="J16" s="451"/>
      <c r="K16" s="451"/>
      <c r="L16" s="450"/>
      <c r="M16" s="451"/>
      <c r="N16" s="452"/>
      <c r="O16" s="453"/>
      <c r="AX16" s="24"/>
    </row>
    <row r="17" spans="1:50" s="454" customFormat="1" ht="18" x14ac:dyDescent="0.2">
      <c r="A17" s="455"/>
      <c r="C17" s="461"/>
      <c r="D17" s="461"/>
      <c r="E17" s="461"/>
      <c r="F17" s="462"/>
      <c r="G17" s="463"/>
      <c r="H17" s="436"/>
      <c r="I17" s="436"/>
      <c r="J17" s="451"/>
      <c r="K17" s="451"/>
      <c r="L17" s="450"/>
      <c r="M17" s="451"/>
      <c r="N17" s="452"/>
      <c r="O17" s="453"/>
      <c r="AX17" s="24"/>
    </row>
    <row r="18" spans="1:50" s="445" customFormat="1" ht="18" x14ac:dyDescent="0.2">
      <c r="A18" s="437">
        <v>2</v>
      </c>
      <c r="B18" s="438" t="s">
        <v>737</v>
      </c>
      <c r="C18" s="439"/>
      <c r="D18" s="439"/>
      <c r="E18" s="439"/>
      <c r="F18" s="439"/>
      <c r="G18" s="440"/>
      <c r="H18" s="441"/>
      <c r="I18" s="442"/>
      <c r="J18" s="443"/>
      <c r="K18" s="443"/>
      <c r="L18" s="442"/>
      <c r="M18" s="443"/>
      <c r="N18" s="444"/>
      <c r="O18" s="444"/>
      <c r="P18" s="444"/>
      <c r="Q18" s="444"/>
      <c r="R18" s="444"/>
      <c r="S18" s="444"/>
      <c r="T18" s="444"/>
      <c r="U18" s="444"/>
      <c r="V18" s="444"/>
      <c r="W18" s="444"/>
      <c r="X18" s="444"/>
      <c r="Y18" s="444"/>
      <c r="Z18" s="444"/>
      <c r="AA18" s="444"/>
      <c r="AB18" s="444"/>
      <c r="AC18" s="444"/>
      <c r="AD18" s="444"/>
      <c r="AE18" s="444"/>
      <c r="AF18" s="444"/>
      <c r="AG18" s="444"/>
      <c r="AH18" s="444"/>
      <c r="AI18" s="444"/>
      <c r="AJ18" s="444"/>
      <c r="AK18" s="444"/>
      <c r="AL18" s="444"/>
      <c r="AM18" s="444"/>
      <c r="AN18" s="444"/>
      <c r="AO18" s="444"/>
      <c r="AP18" s="444"/>
      <c r="AQ18" s="444"/>
      <c r="AR18" s="444"/>
      <c r="AS18" s="444"/>
      <c r="AT18" s="444"/>
      <c r="AU18" s="444"/>
      <c r="AV18" s="444"/>
      <c r="AW18" s="444"/>
      <c r="AX18" s="317"/>
    </row>
    <row r="19" spans="1:50" s="445" customFormat="1" ht="18" x14ac:dyDescent="0.2">
      <c r="A19" s="765"/>
      <c r="B19" s="946" t="s">
        <v>841</v>
      </c>
      <c r="C19" s="946"/>
      <c r="D19" s="946"/>
      <c r="E19" s="946"/>
      <c r="F19" s="946"/>
      <c r="G19" s="766"/>
      <c r="H19" s="767"/>
      <c r="I19" s="768"/>
      <c r="J19" s="769"/>
      <c r="K19" s="769"/>
      <c r="L19" s="768"/>
      <c r="M19" s="769"/>
      <c r="N19" s="770"/>
      <c r="O19" s="770"/>
      <c r="P19" s="770"/>
      <c r="Q19" s="770"/>
      <c r="R19" s="770"/>
      <c r="S19" s="770"/>
      <c r="T19" s="770"/>
      <c r="U19" s="770"/>
      <c r="V19" s="770"/>
      <c r="W19" s="770"/>
      <c r="X19" s="770"/>
      <c r="Y19" s="770"/>
      <c r="Z19" s="770"/>
      <c r="AA19" s="770"/>
      <c r="AB19" s="770"/>
      <c r="AC19" s="770"/>
      <c r="AD19" s="770"/>
      <c r="AE19" s="770"/>
      <c r="AF19" s="770"/>
      <c r="AG19" s="770"/>
      <c r="AH19" s="770"/>
      <c r="AI19" s="770"/>
      <c r="AJ19" s="770"/>
      <c r="AK19" s="770"/>
      <c r="AL19" s="770"/>
      <c r="AM19" s="770"/>
      <c r="AN19" s="770"/>
      <c r="AO19" s="770"/>
      <c r="AP19" s="770"/>
      <c r="AQ19" s="770"/>
      <c r="AR19" s="770"/>
      <c r="AS19" s="770"/>
      <c r="AT19" s="770"/>
      <c r="AU19" s="770"/>
      <c r="AV19" s="770"/>
      <c r="AW19" s="770"/>
      <c r="AX19" s="317"/>
    </row>
    <row r="20" spans="1:50" s="445" customFormat="1" ht="19" thickBot="1" x14ac:dyDescent="0.25">
      <c r="A20" s="765"/>
      <c r="B20" s="536"/>
      <c r="C20" s="536"/>
      <c r="D20" s="536"/>
      <c r="E20" s="536"/>
      <c r="F20" s="536"/>
      <c r="G20" s="766"/>
      <c r="H20" s="767"/>
      <c r="I20" s="768"/>
      <c r="J20" s="769"/>
      <c r="K20" s="769"/>
      <c r="L20" s="768"/>
      <c r="M20" s="769"/>
      <c r="N20" s="770"/>
      <c r="O20" s="770"/>
      <c r="P20" s="770"/>
      <c r="Q20" s="770"/>
      <c r="R20" s="770"/>
      <c r="S20" s="770"/>
      <c r="T20" s="770"/>
      <c r="U20" s="770"/>
      <c r="V20" s="770"/>
      <c r="W20" s="770"/>
      <c r="X20" s="770"/>
      <c r="Y20" s="770"/>
      <c r="Z20" s="770"/>
      <c r="AA20" s="770"/>
      <c r="AB20" s="770"/>
      <c r="AC20" s="770"/>
      <c r="AD20" s="770"/>
      <c r="AE20" s="770"/>
      <c r="AF20" s="770"/>
      <c r="AG20" s="770"/>
      <c r="AH20" s="770"/>
      <c r="AI20" s="770"/>
      <c r="AJ20" s="770"/>
      <c r="AK20" s="770"/>
      <c r="AL20" s="770"/>
      <c r="AM20" s="770"/>
      <c r="AN20" s="770"/>
      <c r="AO20" s="770"/>
      <c r="AP20" s="770"/>
      <c r="AQ20" s="770"/>
      <c r="AR20" s="770"/>
      <c r="AS20" s="770"/>
      <c r="AT20" s="770"/>
      <c r="AU20" s="770"/>
      <c r="AV20" s="770"/>
      <c r="AW20" s="770"/>
      <c r="AX20" s="317"/>
    </row>
    <row r="21" spans="1:50" ht="25.5" customHeight="1" thickBot="1" x14ac:dyDescent="0.25">
      <c r="B21" s="841" t="s">
        <v>369</v>
      </c>
      <c r="C21" s="842"/>
      <c r="D21" s="842"/>
      <c r="E21" s="843"/>
      <c r="F21" s="842"/>
      <c r="G21" s="842"/>
      <c r="H21" s="842"/>
      <c r="I21" s="844"/>
    </row>
    <row r="22" spans="1:50" ht="15.75" customHeight="1" x14ac:dyDescent="0.25">
      <c r="B22" s="955" t="s">
        <v>89</v>
      </c>
      <c r="C22" s="957" t="s">
        <v>90</v>
      </c>
      <c r="D22" s="957" t="s">
        <v>371</v>
      </c>
      <c r="E22" s="739" t="s">
        <v>372</v>
      </c>
      <c r="F22" s="740" t="s">
        <v>373</v>
      </c>
      <c r="G22" s="740" t="s">
        <v>374</v>
      </c>
      <c r="H22" s="740" t="s">
        <v>375</v>
      </c>
      <c r="I22" s="741" t="s">
        <v>376</v>
      </c>
    </row>
    <row r="23" spans="1:50" x14ac:dyDescent="0.2">
      <c r="B23" s="956"/>
      <c r="C23" s="958"/>
      <c r="D23" s="958"/>
      <c r="E23" s="465" t="s">
        <v>377</v>
      </c>
      <c r="F23" s="959" t="s">
        <v>378</v>
      </c>
      <c r="G23" s="959"/>
      <c r="H23" s="959"/>
      <c r="I23" s="742" t="s">
        <v>377</v>
      </c>
      <c r="J23" s="436"/>
    </row>
    <row r="24" spans="1:50" x14ac:dyDescent="0.2">
      <c r="B24" s="950" t="s">
        <v>67</v>
      </c>
      <c r="C24" s="951" t="s">
        <v>98</v>
      </c>
      <c r="D24" s="467" t="s">
        <v>379</v>
      </c>
      <c r="E24" s="466">
        <v>21</v>
      </c>
      <c r="F24" s="468">
        <v>0.92</v>
      </c>
      <c r="G24" s="468">
        <v>1</v>
      </c>
      <c r="H24" s="468">
        <v>0.95</v>
      </c>
      <c r="I24" s="743">
        <f>E24*F24*G24*H24</f>
        <v>18.353999999999999</v>
      </c>
      <c r="AX24" s="509" t="str">
        <f>B24&amp;"-"&amp;C24&amp;"-"&amp;D24</f>
        <v>HAC-corn-soy-alfalfa-alfalfa-Full till</v>
      </c>
    </row>
    <row r="25" spans="1:50" x14ac:dyDescent="0.2">
      <c r="B25" s="950"/>
      <c r="C25" s="951"/>
      <c r="D25" s="467" t="s">
        <v>380</v>
      </c>
      <c r="E25" s="466">
        <v>21</v>
      </c>
      <c r="F25" s="468">
        <v>0.92</v>
      </c>
      <c r="G25" s="468">
        <v>0.99</v>
      </c>
      <c r="H25" s="468">
        <v>1.04</v>
      </c>
      <c r="I25" s="743">
        <f t="shared" ref="I25:I41" si="0">E25*F25*G25*H25</f>
        <v>19.891871999999999</v>
      </c>
      <c r="AX25" s="509" t="str">
        <f>B24&amp;"-"&amp;C24&amp;"-"&amp;D25</f>
        <v>HAC-corn-soy-alfalfa-alfalfa-Reduced till</v>
      </c>
    </row>
    <row r="26" spans="1:50" x14ac:dyDescent="0.2">
      <c r="B26" s="950"/>
      <c r="C26" s="951"/>
      <c r="D26" s="467" t="s">
        <v>381</v>
      </c>
      <c r="E26" s="466">
        <v>21</v>
      </c>
      <c r="F26" s="468">
        <v>0.92</v>
      </c>
      <c r="G26" s="468">
        <v>1.04</v>
      </c>
      <c r="H26" s="468">
        <v>1.04</v>
      </c>
      <c r="I26" s="743">
        <f t="shared" si="0"/>
        <v>20.896512000000001</v>
      </c>
      <c r="AX26" s="509" t="str">
        <f>B24&amp;"-"&amp;C24&amp;"-"&amp;D26</f>
        <v>HAC-corn-soy-alfalfa-alfalfa-No-till</v>
      </c>
    </row>
    <row r="27" spans="1:50" x14ac:dyDescent="0.2">
      <c r="B27" s="950" t="s">
        <v>67</v>
      </c>
      <c r="C27" s="951" t="s">
        <v>101</v>
      </c>
      <c r="D27" s="467" t="s">
        <v>379</v>
      </c>
      <c r="E27" s="466">
        <v>21</v>
      </c>
      <c r="F27" s="468">
        <v>0.92</v>
      </c>
      <c r="G27" s="468">
        <v>1</v>
      </c>
      <c r="H27" s="468">
        <v>0.95</v>
      </c>
      <c r="I27" s="743">
        <f t="shared" si="0"/>
        <v>18.353999999999999</v>
      </c>
      <c r="AX27" s="509" t="str">
        <f>B27&amp;"-"&amp;C27&amp;"-"&amp;D27</f>
        <v>HAC-wheat-Full till</v>
      </c>
    </row>
    <row r="28" spans="1:50" x14ac:dyDescent="0.2">
      <c r="B28" s="950"/>
      <c r="C28" s="951"/>
      <c r="D28" s="467" t="s">
        <v>380</v>
      </c>
      <c r="E28" s="466">
        <v>21</v>
      </c>
      <c r="F28" s="468">
        <v>0.92</v>
      </c>
      <c r="G28" s="468">
        <v>0.99</v>
      </c>
      <c r="H28" s="468">
        <v>1.04</v>
      </c>
      <c r="I28" s="743">
        <f t="shared" si="0"/>
        <v>19.891871999999999</v>
      </c>
      <c r="AX28" s="509" t="str">
        <f>B27&amp;"-"&amp;C27&amp;"-"&amp;D28</f>
        <v>HAC-wheat-Reduced till</v>
      </c>
    </row>
    <row r="29" spans="1:50" x14ac:dyDescent="0.2">
      <c r="B29" s="950"/>
      <c r="C29" s="951"/>
      <c r="D29" s="467" t="s">
        <v>381</v>
      </c>
      <c r="E29" s="466">
        <v>21</v>
      </c>
      <c r="F29" s="468">
        <v>0.92</v>
      </c>
      <c r="G29" s="468">
        <v>1.04</v>
      </c>
      <c r="H29" s="468">
        <v>1.04</v>
      </c>
      <c r="I29" s="743">
        <f t="shared" si="0"/>
        <v>20.896512000000001</v>
      </c>
      <c r="AX29" s="509" t="str">
        <f>B27&amp;"-"&amp;C27&amp;"-"&amp;D29</f>
        <v>HAC-wheat-No-till</v>
      </c>
    </row>
    <row r="30" spans="1:50" x14ac:dyDescent="0.2">
      <c r="B30" s="950" t="s">
        <v>67</v>
      </c>
      <c r="C30" s="951" t="s">
        <v>103</v>
      </c>
      <c r="D30" s="467" t="s">
        <v>379</v>
      </c>
      <c r="E30" s="466">
        <v>21</v>
      </c>
      <c r="F30" s="468">
        <v>0.92</v>
      </c>
      <c r="G30" s="468">
        <v>1</v>
      </c>
      <c r="H30" s="468">
        <v>0.95</v>
      </c>
      <c r="I30" s="743">
        <f t="shared" si="0"/>
        <v>18.353999999999999</v>
      </c>
      <c r="AX30" s="509" t="str">
        <f>B30&amp;"-"&amp;C30&amp;"-"&amp;D30</f>
        <v>HAC-cassava-beans-Full till</v>
      </c>
    </row>
    <row r="31" spans="1:50" x14ac:dyDescent="0.2">
      <c r="B31" s="950"/>
      <c r="C31" s="951"/>
      <c r="D31" s="467" t="s">
        <v>380</v>
      </c>
      <c r="E31" s="466">
        <v>21</v>
      </c>
      <c r="F31" s="468">
        <v>0.92</v>
      </c>
      <c r="G31" s="468">
        <v>0.99</v>
      </c>
      <c r="H31" s="468">
        <v>1.04</v>
      </c>
      <c r="I31" s="743">
        <f t="shared" si="0"/>
        <v>19.891871999999999</v>
      </c>
      <c r="AX31" s="509" t="str">
        <f>B30&amp;"-"&amp;C30&amp;"-"&amp;D31</f>
        <v>HAC-cassava-beans-Reduced till</v>
      </c>
    </row>
    <row r="32" spans="1:50" x14ac:dyDescent="0.2">
      <c r="B32" s="950"/>
      <c r="C32" s="951"/>
      <c r="D32" s="467" t="s">
        <v>381</v>
      </c>
      <c r="E32" s="466">
        <v>21</v>
      </c>
      <c r="F32" s="468">
        <v>0.92</v>
      </c>
      <c r="G32" s="468">
        <v>1.04</v>
      </c>
      <c r="H32" s="468">
        <v>1.04</v>
      </c>
      <c r="I32" s="743">
        <f t="shared" si="0"/>
        <v>20.896512000000001</v>
      </c>
      <c r="AX32" s="509" t="str">
        <f>B30&amp;"-"&amp;C30&amp;"-"&amp;D32</f>
        <v>HAC-cassava-beans-No-till</v>
      </c>
    </row>
    <row r="33" spans="1:50" x14ac:dyDescent="0.2">
      <c r="B33" s="950" t="s">
        <v>75</v>
      </c>
      <c r="C33" s="951" t="s">
        <v>105</v>
      </c>
      <c r="D33" s="467" t="s">
        <v>379</v>
      </c>
      <c r="E33" s="466">
        <v>50</v>
      </c>
      <c r="F33" s="468">
        <v>0.92</v>
      </c>
      <c r="G33" s="468">
        <v>1</v>
      </c>
      <c r="H33" s="468">
        <v>0.95</v>
      </c>
      <c r="I33" s="743">
        <f t="shared" si="0"/>
        <v>43.699999999999996</v>
      </c>
      <c r="AX33" s="509" t="str">
        <f>B33&amp;"-"&amp;C33&amp;"-"&amp;D33</f>
        <v>VOL-vegetables-Full till</v>
      </c>
    </row>
    <row r="34" spans="1:50" x14ac:dyDescent="0.2">
      <c r="B34" s="950"/>
      <c r="C34" s="951"/>
      <c r="D34" s="467" t="s">
        <v>380</v>
      </c>
      <c r="E34" s="466">
        <v>50</v>
      </c>
      <c r="F34" s="468">
        <v>0.92</v>
      </c>
      <c r="G34" s="468">
        <v>0.99</v>
      </c>
      <c r="H34" s="468">
        <v>1.04</v>
      </c>
      <c r="I34" s="743">
        <f t="shared" si="0"/>
        <v>47.361600000000003</v>
      </c>
      <c r="AX34" s="509" t="str">
        <f>B33&amp;"-"&amp;C33&amp;"-"&amp;D34</f>
        <v>VOL-vegetables-Reduced till</v>
      </c>
    </row>
    <row r="35" spans="1:50" x14ac:dyDescent="0.2">
      <c r="B35" s="950"/>
      <c r="C35" s="951"/>
      <c r="D35" s="467" t="s">
        <v>381</v>
      </c>
      <c r="E35" s="466">
        <v>50</v>
      </c>
      <c r="F35" s="468">
        <v>0.92</v>
      </c>
      <c r="G35" s="468">
        <v>1.04</v>
      </c>
      <c r="H35" s="468">
        <v>1.04</v>
      </c>
      <c r="I35" s="743">
        <f t="shared" si="0"/>
        <v>49.753600000000006</v>
      </c>
      <c r="AX35" s="509" t="str">
        <f>B33&amp;"-"&amp;C33&amp;"-"&amp;D35</f>
        <v>VOL-vegetables-No-till</v>
      </c>
    </row>
    <row r="36" spans="1:50" x14ac:dyDescent="0.2">
      <c r="B36" s="950" t="s">
        <v>75</v>
      </c>
      <c r="C36" s="951" t="s">
        <v>103</v>
      </c>
      <c r="D36" s="467" t="s">
        <v>379</v>
      </c>
      <c r="E36" s="466">
        <v>50</v>
      </c>
      <c r="F36" s="468">
        <v>0.92</v>
      </c>
      <c r="G36" s="468">
        <v>1</v>
      </c>
      <c r="H36" s="468">
        <v>0.95</v>
      </c>
      <c r="I36" s="743">
        <f t="shared" si="0"/>
        <v>43.699999999999996</v>
      </c>
      <c r="AX36" s="509" t="str">
        <f>B36&amp;"-"&amp;C36&amp;"-"&amp;D36</f>
        <v>VOL-cassava-beans-Full till</v>
      </c>
    </row>
    <row r="37" spans="1:50" x14ac:dyDescent="0.2">
      <c r="B37" s="950"/>
      <c r="C37" s="951"/>
      <c r="D37" s="467" t="s">
        <v>380</v>
      </c>
      <c r="E37" s="466">
        <v>50</v>
      </c>
      <c r="F37" s="468">
        <v>0.92</v>
      </c>
      <c r="G37" s="468">
        <v>0.99</v>
      </c>
      <c r="H37" s="468">
        <v>1.04</v>
      </c>
      <c r="I37" s="743">
        <f t="shared" si="0"/>
        <v>47.361600000000003</v>
      </c>
      <c r="AX37" s="509" t="str">
        <f>B36&amp;"-"&amp;C36&amp;"-"&amp;D37</f>
        <v>VOL-cassava-beans-Reduced till</v>
      </c>
    </row>
    <row r="38" spans="1:50" x14ac:dyDescent="0.2">
      <c r="B38" s="950"/>
      <c r="C38" s="951"/>
      <c r="D38" s="467" t="s">
        <v>381</v>
      </c>
      <c r="E38" s="466">
        <v>50</v>
      </c>
      <c r="F38" s="468">
        <v>0.92</v>
      </c>
      <c r="G38" s="468">
        <v>1.04</v>
      </c>
      <c r="H38" s="468">
        <v>1.04</v>
      </c>
      <c r="I38" s="743">
        <f t="shared" si="0"/>
        <v>49.753600000000006</v>
      </c>
      <c r="AX38" s="509" t="str">
        <f>B36&amp;"-"&amp;C36&amp;"-"&amp;D38</f>
        <v>VOL-cassava-beans-No-till</v>
      </c>
    </row>
    <row r="39" spans="1:50" x14ac:dyDescent="0.2">
      <c r="B39" s="950" t="s">
        <v>70</v>
      </c>
      <c r="C39" s="951" t="s">
        <v>101</v>
      </c>
      <c r="D39" s="467" t="s">
        <v>379</v>
      </c>
      <c r="E39" s="466">
        <v>19</v>
      </c>
      <c r="F39" s="468">
        <v>0.92</v>
      </c>
      <c r="G39" s="468">
        <v>1</v>
      </c>
      <c r="H39" s="468">
        <v>0.95</v>
      </c>
      <c r="I39" s="743">
        <f t="shared" si="0"/>
        <v>16.605999999999998</v>
      </c>
      <c r="AX39" s="509" t="str">
        <f>B39&amp;"-"&amp;C39&amp;"-"&amp;D39</f>
        <v>LAC-wheat-Full till</v>
      </c>
    </row>
    <row r="40" spans="1:50" x14ac:dyDescent="0.2">
      <c r="B40" s="950"/>
      <c r="C40" s="951"/>
      <c r="D40" s="467" t="s">
        <v>380</v>
      </c>
      <c r="E40" s="466">
        <v>19</v>
      </c>
      <c r="F40" s="468">
        <v>0.92</v>
      </c>
      <c r="G40" s="468">
        <v>0.99</v>
      </c>
      <c r="H40" s="468">
        <v>1.04</v>
      </c>
      <c r="I40" s="743">
        <f t="shared" si="0"/>
        <v>17.997408</v>
      </c>
      <c r="AX40" s="509" t="str">
        <f>B39&amp;"-"&amp;C39&amp;"-"&amp;D40</f>
        <v>LAC-wheat-Reduced till</v>
      </c>
    </row>
    <row r="41" spans="1:50" ht="17" thickBot="1" x14ac:dyDescent="0.25">
      <c r="B41" s="952"/>
      <c r="C41" s="953"/>
      <c r="D41" s="710" t="s">
        <v>381</v>
      </c>
      <c r="E41" s="707">
        <v>19</v>
      </c>
      <c r="F41" s="744">
        <v>0.92</v>
      </c>
      <c r="G41" s="744">
        <v>1.04</v>
      </c>
      <c r="H41" s="744">
        <v>1.04</v>
      </c>
      <c r="I41" s="745">
        <f t="shared" si="0"/>
        <v>18.906368000000004</v>
      </c>
      <c r="AX41" s="509" t="str">
        <f>B39&amp;"-"&amp;C39&amp;"-"&amp;D41</f>
        <v>LAC-wheat-No-till</v>
      </c>
    </row>
    <row r="42" spans="1:50" x14ac:dyDescent="0.2">
      <c r="A42" s="469"/>
      <c r="B42" s="453"/>
      <c r="C42" s="470"/>
      <c r="E42" s="453"/>
      <c r="F42" s="471"/>
      <c r="G42" s="471"/>
      <c r="H42" s="471"/>
      <c r="I42" s="472"/>
    </row>
    <row r="43" spans="1:50" x14ac:dyDescent="0.2">
      <c r="A43" s="469"/>
      <c r="B43" s="470"/>
      <c r="C43" s="470"/>
      <c r="E43" s="453"/>
      <c r="F43" s="471"/>
      <c r="G43" s="471"/>
      <c r="H43" s="471"/>
      <c r="I43" s="472"/>
    </row>
    <row r="44" spans="1:50" s="445" customFormat="1" ht="18" x14ac:dyDescent="0.2">
      <c r="A44" s="437">
        <v>3</v>
      </c>
      <c r="B44" s="473" t="s">
        <v>860</v>
      </c>
      <c r="C44" s="439"/>
      <c r="D44" s="439"/>
      <c r="E44" s="439"/>
      <c r="F44" s="439"/>
      <c r="G44" s="440"/>
      <c r="H44" s="441"/>
      <c r="I44" s="442"/>
      <c r="J44" s="443"/>
      <c r="K44" s="443"/>
      <c r="L44" s="442"/>
      <c r="M44" s="443"/>
      <c r="N44" s="444"/>
      <c r="O44" s="444"/>
      <c r="P44" s="444"/>
      <c r="Q44" s="444"/>
      <c r="R44" s="444"/>
      <c r="S44" s="444"/>
      <c r="T44" s="444"/>
      <c r="U44" s="444"/>
      <c r="V44" s="444"/>
      <c r="W44" s="444"/>
      <c r="X44" s="444"/>
      <c r="Y44" s="444"/>
      <c r="Z44" s="444"/>
      <c r="AA44" s="444"/>
      <c r="AB44" s="444"/>
      <c r="AC44" s="444"/>
      <c r="AD44" s="444"/>
      <c r="AE44" s="444"/>
      <c r="AF44" s="444"/>
      <c r="AG44" s="444"/>
      <c r="AH44" s="444"/>
      <c r="AI44" s="444"/>
      <c r="AJ44" s="444"/>
      <c r="AK44" s="444"/>
      <c r="AL44" s="444"/>
      <c r="AM44" s="444"/>
      <c r="AN44" s="444"/>
      <c r="AO44" s="444"/>
      <c r="AP44" s="444"/>
      <c r="AQ44" s="444"/>
      <c r="AR44" s="444"/>
      <c r="AS44" s="444"/>
      <c r="AT44" s="444"/>
      <c r="AU44" s="444"/>
      <c r="AV44" s="444"/>
      <c r="AW44" s="444"/>
      <c r="AX44" s="317"/>
    </row>
    <row r="45" spans="1:50" s="436" customFormat="1" ht="51.75" customHeight="1" x14ac:dyDescent="0.2">
      <c r="A45" s="454"/>
      <c r="B45" s="954" t="s">
        <v>856</v>
      </c>
      <c r="C45" s="954"/>
      <c r="D45" s="954"/>
      <c r="E45" s="954"/>
      <c r="F45" s="954"/>
      <c r="O45" s="464"/>
      <c r="P45" s="454"/>
      <c r="AX45"/>
    </row>
    <row r="46" spans="1:50" s="763" customFormat="1" ht="24" customHeight="1" thickBot="1" x14ac:dyDescent="0.25">
      <c r="A46" s="771"/>
      <c r="B46" s="846" t="s">
        <v>842</v>
      </c>
      <c r="C46" s="762"/>
      <c r="D46" s="762"/>
      <c r="E46" s="762"/>
      <c r="F46" s="762"/>
      <c r="O46" s="772"/>
      <c r="P46" s="771"/>
      <c r="AX46" s="764"/>
    </row>
    <row r="47" spans="1:50" s="454" customFormat="1" ht="19" thickBot="1" x14ac:dyDescent="0.25">
      <c r="B47" s="693" t="s">
        <v>627</v>
      </c>
      <c r="C47" s="694"/>
      <c r="D47" s="695"/>
      <c r="E47" s="696"/>
      <c r="F47" s="694"/>
      <c r="G47" s="696"/>
      <c r="H47" s="696"/>
      <c r="I47" s="696"/>
      <c r="J47" s="696"/>
      <c r="K47" s="696"/>
      <c r="L47" s="696"/>
      <c r="M47" s="696"/>
      <c r="N47" s="696"/>
      <c r="O47" s="697"/>
      <c r="P47" s="697"/>
      <c r="Q47" s="697"/>
      <c r="R47" s="697"/>
      <c r="S47" s="697"/>
      <c r="T47" s="697"/>
      <c r="U47" s="697"/>
      <c r="V47" s="697"/>
      <c r="W47" s="697"/>
      <c r="X47" s="697"/>
      <c r="Y47" s="697"/>
      <c r="Z47" s="697"/>
      <c r="AA47" s="697"/>
      <c r="AB47" s="697"/>
      <c r="AC47" s="697"/>
      <c r="AD47" s="697"/>
      <c r="AE47" s="697"/>
      <c r="AF47" s="697"/>
      <c r="AG47" s="697"/>
      <c r="AH47" s="697"/>
      <c r="AI47" s="697"/>
      <c r="AJ47" s="697"/>
      <c r="AK47" s="697"/>
      <c r="AL47" s="697"/>
      <c r="AM47" s="697"/>
      <c r="AN47" s="697"/>
      <c r="AO47" s="697"/>
      <c r="AP47" s="697"/>
      <c r="AQ47" s="697"/>
      <c r="AR47" s="697"/>
      <c r="AS47" s="697"/>
      <c r="AT47" s="697"/>
      <c r="AU47" s="697"/>
      <c r="AV47" s="697"/>
      <c r="AW47" s="698"/>
      <c r="AX47" s="24"/>
    </row>
    <row r="48" spans="1:50" customFormat="1" ht="17" thickBot="1" x14ac:dyDescent="0.25">
      <c r="B48" s="773"/>
      <c r="C48" s="773"/>
      <c r="D48" s="773"/>
      <c r="E48" s="773"/>
    </row>
    <row r="49" spans="1:50" x14ac:dyDescent="0.2">
      <c r="A49" s="782"/>
      <c r="B49" s="780" t="s">
        <v>382</v>
      </c>
      <c r="C49" s="780"/>
      <c r="D49" s="780"/>
      <c r="E49" s="780"/>
      <c r="F49" s="780"/>
      <c r="G49" s="780"/>
      <c r="H49" s="780"/>
      <c r="I49" s="780"/>
      <c r="J49" s="780"/>
      <c r="K49" s="780"/>
      <c r="L49" s="780"/>
      <c r="M49" s="780"/>
      <c r="N49" s="780"/>
      <c r="O49" s="780"/>
      <c r="P49" s="780"/>
      <c r="Q49" s="780"/>
      <c r="R49" s="780"/>
      <c r="S49" s="780"/>
      <c r="T49" s="780"/>
      <c r="U49" s="780"/>
      <c r="V49" s="780"/>
      <c r="W49" s="780"/>
      <c r="X49" s="780"/>
      <c r="Y49" s="780"/>
      <c r="Z49" s="780"/>
      <c r="AA49" s="780"/>
      <c r="AB49" s="780"/>
      <c r="AC49" s="780"/>
      <c r="AD49" s="780"/>
      <c r="AE49" s="780"/>
      <c r="AF49" s="780"/>
      <c r="AG49" s="780"/>
      <c r="AH49" s="780"/>
      <c r="AI49" s="780"/>
      <c r="AJ49" s="780"/>
      <c r="AK49" s="780"/>
      <c r="AL49" s="780"/>
      <c r="AM49" s="780"/>
      <c r="AN49" s="780"/>
      <c r="AO49" s="780"/>
      <c r="AP49" s="780"/>
      <c r="AQ49" s="780"/>
      <c r="AR49" s="780"/>
      <c r="AS49" s="780"/>
      <c r="AT49" s="780"/>
      <c r="AU49" s="701"/>
      <c r="AV49" s="701"/>
      <c r="AW49" s="702"/>
    </row>
    <row r="50" spans="1:50" ht="21.75" customHeight="1" x14ac:dyDescent="0.2">
      <c r="A50" s="779"/>
      <c r="B50" s="508"/>
      <c r="F50" s="475" t="s">
        <v>383</v>
      </c>
      <c r="G50" s="475" t="s">
        <v>384</v>
      </c>
      <c r="H50" s="475" t="s">
        <v>385</v>
      </c>
      <c r="I50" s="475" t="s">
        <v>386</v>
      </c>
      <c r="J50" s="475" t="s">
        <v>387</v>
      </c>
      <c r="K50" s="475" t="s">
        <v>388</v>
      </c>
      <c r="L50" s="475" t="s">
        <v>389</v>
      </c>
      <c r="M50" s="475" t="s">
        <v>390</v>
      </c>
      <c r="N50" s="475" t="s">
        <v>391</v>
      </c>
      <c r="O50" s="475" t="s">
        <v>392</v>
      </c>
      <c r="P50" s="475" t="s">
        <v>393</v>
      </c>
      <c r="Q50" s="475" t="s">
        <v>394</v>
      </c>
      <c r="R50" s="475" t="s">
        <v>395</v>
      </c>
      <c r="S50" s="475" t="s">
        <v>396</v>
      </c>
      <c r="T50" s="475" t="s">
        <v>397</v>
      </c>
      <c r="U50" s="475" t="s">
        <v>398</v>
      </c>
      <c r="V50" s="475" t="s">
        <v>399</v>
      </c>
      <c r="W50" s="475" t="s">
        <v>400</v>
      </c>
      <c r="X50" s="475" t="s">
        <v>401</v>
      </c>
      <c r="Y50" s="475" t="s">
        <v>402</v>
      </c>
      <c r="Z50" s="475" t="s">
        <v>120</v>
      </c>
      <c r="AA50" s="475" t="s">
        <v>146</v>
      </c>
      <c r="AB50" s="475" t="s">
        <v>147</v>
      </c>
      <c r="AC50" s="475" t="s">
        <v>148</v>
      </c>
      <c r="AD50" s="475" t="s">
        <v>149</v>
      </c>
      <c r="AE50" s="475" t="s">
        <v>150</v>
      </c>
      <c r="AF50" s="475" t="s">
        <v>151</v>
      </c>
      <c r="AG50" s="475" t="s">
        <v>152</v>
      </c>
      <c r="AH50" s="475" t="s">
        <v>153</v>
      </c>
      <c r="AI50" s="475" t="s">
        <v>154</v>
      </c>
      <c r="AJ50" s="475" t="s">
        <v>121</v>
      </c>
      <c r="AK50" s="475" t="s">
        <v>403</v>
      </c>
      <c r="AL50" s="475" t="s">
        <v>404</v>
      </c>
      <c r="AM50" s="475" t="s">
        <v>405</v>
      </c>
      <c r="AN50" s="475" t="s">
        <v>406</v>
      </c>
      <c r="AO50" s="475" t="s">
        <v>407</v>
      </c>
      <c r="AP50" s="475" t="s">
        <v>408</v>
      </c>
      <c r="AQ50" s="475" t="s">
        <v>409</v>
      </c>
      <c r="AR50" s="475" t="s">
        <v>410</v>
      </c>
      <c r="AS50" s="475" t="s">
        <v>411</v>
      </c>
      <c r="AT50" s="476" t="s">
        <v>412</v>
      </c>
      <c r="AU50" s="948" t="s">
        <v>606</v>
      </c>
      <c r="AV50" s="948" t="s">
        <v>607</v>
      </c>
      <c r="AW50" s="703" t="s">
        <v>155</v>
      </c>
    </row>
    <row r="51" spans="1:50" x14ac:dyDescent="0.2">
      <c r="A51" s="779"/>
      <c r="B51" s="783" t="s">
        <v>413</v>
      </c>
      <c r="C51" s="477" t="s">
        <v>90</v>
      </c>
      <c r="D51" s="477" t="s">
        <v>414</v>
      </c>
      <c r="E51" s="478" t="s">
        <v>415</v>
      </c>
      <c r="F51" s="479">
        <v>2000</v>
      </c>
      <c r="G51" s="479">
        <v>2001</v>
      </c>
      <c r="H51" s="479">
        <v>2002</v>
      </c>
      <c r="I51" s="479">
        <v>2003</v>
      </c>
      <c r="J51" s="479">
        <v>2004</v>
      </c>
      <c r="K51" s="479">
        <v>2005</v>
      </c>
      <c r="L51" s="479">
        <v>2006</v>
      </c>
      <c r="M51" s="479">
        <v>2007</v>
      </c>
      <c r="N51" s="479">
        <v>2008</v>
      </c>
      <c r="O51" s="479">
        <v>2009</v>
      </c>
      <c r="P51" s="479">
        <v>2010</v>
      </c>
      <c r="Q51" s="479">
        <v>2011</v>
      </c>
      <c r="R51" s="479">
        <v>2012</v>
      </c>
      <c r="S51" s="479">
        <v>2013</v>
      </c>
      <c r="T51" s="479">
        <v>2014</v>
      </c>
      <c r="U51" s="479">
        <v>2015</v>
      </c>
      <c r="V51" s="479">
        <v>2016</v>
      </c>
      <c r="W51" s="479">
        <v>2017</v>
      </c>
      <c r="X51" s="479">
        <v>2018</v>
      </c>
      <c r="Y51" s="479">
        <v>2019</v>
      </c>
      <c r="Z51" s="479">
        <v>2020</v>
      </c>
      <c r="AA51" s="479">
        <v>2021</v>
      </c>
      <c r="AB51" s="479">
        <v>2022</v>
      </c>
      <c r="AC51" s="479">
        <v>2023</v>
      </c>
      <c r="AD51" s="479">
        <v>2024</v>
      </c>
      <c r="AE51" s="479">
        <v>2025</v>
      </c>
      <c r="AF51" s="479">
        <v>2026</v>
      </c>
      <c r="AG51" s="479">
        <v>2027</v>
      </c>
      <c r="AH51" s="479">
        <v>2028</v>
      </c>
      <c r="AI51" s="479">
        <v>2029</v>
      </c>
      <c r="AJ51" s="479">
        <v>2030</v>
      </c>
      <c r="AK51" s="479">
        <v>2031</v>
      </c>
      <c r="AL51" s="479">
        <v>2032</v>
      </c>
      <c r="AM51" s="479">
        <v>2033</v>
      </c>
      <c r="AN51" s="479">
        <v>2034</v>
      </c>
      <c r="AO51" s="479">
        <v>2035</v>
      </c>
      <c r="AP51" s="479">
        <v>2036</v>
      </c>
      <c r="AQ51" s="479">
        <v>2037</v>
      </c>
      <c r="AR51" s="479">
        <v>2038</v>
      </c>
      <c r="AS51" s="479">
        <v>2039</v>
      </c>
      <c r="AT51" s="480">
        <v>2040</v>
      </c>
      <c r="AU51" s="949"/>
      <c r="AV51" s="949"/>
      <c r="AW51" s="705" t="s">
        <v>416</v>
      </c>
    </row>
    <row r="52" spans="1:50" s="454" customFormat="1" ht="51" x14ac:dyDescent="0.2">
      <c r="A52" s="436"/>
      <c r="B52" s="950" t="str">
        <f>B24</f>
        <v>HAC</v>
      </c>
      <c r="C52" s="960" t="str">
        <f>C24</f>
        <v>corn-soy-alfalfa-alfalfa</v>
      </c>
      <c r="D52" s="481">
        <v>23738.289999999997</v>
      </c>
      <c r="E52" s="482" t="str">
        <f t="shared" ref="E52:E69" si="1">D24</f>
        <v>Full till</v>
      </c>
      <c r="F52" s="467">
        <v>1</v>
      </c>
      <c r="G52" s="467">
        <f>$F$52-SUM(G53:G54)</f>
        <v>0.995</v>
      </c>
      <c r="H52" s="467">
        <f>$F$52-SUM(H53:H54)</f>
        <v>0.99</v>
      </c>
      <c r="I52" s="467">
        <f t="shared" ref="I52:K52" si="2">$F$52-SUM(I53:I54)</f>
        <v>0.98499999999999999</v>
      </c>
      <c r="J52" s="467">
        <f t="shared" si="2"/>
        <v>0.98</v>
      </c>
      <c r="K52" s="467">
        <f t="shared" si="2"/>
        <v>0.97499999999999998</v>
      </c>
      <c r="L52" s="467">
        <f>$F$52-SUM(L53:L54)</f>
        <v>0.97</v>
      </c>
      <c r="M52" s="467">
        <f t="shared" ref="M52:AT52" si="3">$F$52-SUM(M53:M54)</f>
        <v>0.96499999999999997</v>
      </c>
      <c r="N52" s="467">
        <f t="shared" si="3"/>
        <v>0.96</v>
      </c>
      <c r="O52" s="467">
        <f t="shared" si="3"/>
        <v>0.95499999999999996</v>
      </c>
      <c r="P52" s="467">
        <f t="shared" si="3"/>
        <v>0.95</v>
      </c>
      <c r="Q52" s="467">
        <f t="shared" si="3"/>
        <v>0.94500000000000006</v>
      </c>
      <c r="R52" s="467">
        <f t="shared" si="3"/>
        <v>0.94000000000000006</v>
      </c>
      <c r="S52" s="467">
        <f t="shared" si="3"/>
        <v>0.93500000000000005</v>
      </c>
      <c r="T52" s="467">
        <f t="shared" si="3"/>
        <v>0.93</v>
      </c>
      <c r="U52" s="467">
        <f t="shared" si="3"/>
        <v>0.92500000000000004</v>
      </c>
      <c r="V52" s="467">
        <f t="shared" si="3"/>
        <v>0.92</v>
      </c>
      <c r="W52" s="467">
        <f t="shared" si="3"/>
        <v>0.91500000000000004</v>
      </c>
      <c r="X52" s="467">
        <f t="shared" si="3"/>
        <v>0.91</v>
      </c>
      <c r="Y52" s="467">
        <f t="shared" si="3"/>
        <v>0.90500000000000003</v>
      </c>
      <c r="Z52" s="467">
        <f t="shared" si="3"/>
        <v>0.9</v>
      </c>
      <c r="AA52" s="467">
        <f t="shared" si="3"/>
        <v>0.89500000000000002</v>
      </c>
      <c r="AB52" s="467">
        <f t="shared" si="3"/>
        <v>0.89</v>
      </c>
      <c r="AC52" s="467">
        <f t="shared" si="3"/>
        <v>0.88500000000000001</v>
      </c>
      <c r="AD52" s="467">
        <f t="shared" si="3"/>
        <v>0.88</v>
      </c>
      <c r="AE52" s="467">
        <f t="shared" si="3"/>
        <v>0.875</v>
      </c>
      <c r="AF52" s="467">
        <f t="shared" si="3"/>
        <v>0.87</v>
      </c>
      <c r="AG52" s="467">
        <f t="shared" si="3"/>
        <v>0.86499999999999999</v>
      </c>
      <c r="AH52" s="467">
        <f t="shared" si="3"/>
        <v>0.86</v>
      </c>
      <c r="AI52" s="467">
        <f t="shared" si="3"/>
        <v>0.85499999999999998</v>
      </c>
      <c r="AJ52" s="467">
        <f t="shared" si="3"/>
        <v>0.85</v>
      </c>
      <c r="AK52" s="467">
        <f t="shared" si="3"/>
        <v>0.84499999999999997</v>
      </c>
      <c r="AL52" s="467">
        <f t="shared" si="3"/>
        <v>0.84</v>
      </c>
      <c r="AM52" s="467">
        <f t="shared" si="3"/>
        <v>0.83499999999999996</v>
      </c>
      <c r="AN52" s="467">
        <f t="shared" si="3"/>
        <v>0.83</v>
      </c>
      <c r="AO52" s="467">
        <f t="shared" si="3"/>
        <v>0.82499999999999996</v>
      </c>
      <c r="AP52" s="467">
        <f t="shared" si="3"/>
        <v>0.82</v>
      </c>
      <c r="AQ52" s="467">
        <f t="shared" si="3"/>
        <v>0.81499999999999995</v>
      </c>
      <c r="AR52" s="467">
        <f t="shared" si="3"/>
        <v>0.80999999999999994</v>
      </c>
      <c r="AS52" s="467">
        <f t="shared" si="3"/>
        <v>0.80499999999999994</v>
      </c>
      <c r="AT52" s="467">
        <f t="shared" si="3"/>
        <v>0.79999999999999993</v>
      </c>
      <c r="AU52" s="483"/>
      <c r="AV52" s="484"/>
      <c r="AW52" s="706" t="s">
        <v>417</v>
      </c>
      <c r="AX52" s="24"/>
    </row>
    <row r="53" spans="1:50" ht="25.5" customHeight="1" x14ac:dyDescent="0.2">
      <c r="A53" s="436"/>
      <c r="B53" s="950"/>
      <c r="C53" s="960"/>
      <c r="D53" s="485"/>
      <c r="E53" s="482" t="str">
        <f t="shared" si="1"/>
        <v>Reduced till</v>
      </c>
      <c r="F53" s="467">
        <v>0</v>
      </c>
      <c r="G53" s="467">
        <f>$AU53/20</f>
        <v>2.5000000000000001E-3</v>
      </c>
      <c r="H53" s="467">
        <f>($AU53/20)+G53</f>
        <v>5.0000000000000001E-3</v>
      </c>
      <c r="I53" s="467">
        <f t="shared" ref="I53:X54" si="4">($AU53/20)+H53</f>
        <v>7.4999999999999997E-3</v>
      </c>
      <c r="J53" s="467">
        <f t="shared" si="4"/>
        <v>0.01</v>
      </c>
      <c r="K53" s="467">
        <f t="shared" si="4"/>
        <v>1.2500000000000001E-2</v>
      </c>
      <c r="L53" s="467">
        <f t="shared" si="4"/>
        <v>1.5000000000000001E-2</v>
      </c>
      <c r="M53" s="467">
        <f t="shared" si="4"/>
        <v>1.7500000000000002E-2</v>
      </c>
      <c r="N53" s="467">
        <f t="shared" si="4"/>
        <v>0.02</v>
      </c>
      <c r="O53" s="467">
        <f t="shared" si="4"/>
        <v>2.2499999999999999E-2</v>
      </c>
      <c r="P53" s="467">
        <f t="shared" si="4"/>
        <v>2.4999999999999998E-2</v>
      </c>
      <c r="Q53" s="467">
        <f t="shared" si="4"/>
        <v>2.7499999999999997E-2</v>
      </c>
      <c r="R53" s="467">
        <f t="shared" si="4"/>
        <v>2.9999999999999995E-2</v>
      </c>
      <c r="S53" s="467">
        <f t="shared" si="4"/>
        <v>3.2499999999999994E-2</v>
      </c>
      <c r="T53" s="467">
        <f t="shared" si="4"/>
        <v>3.4999999999999996E-2</v>
      </c>
      <c r="U53" s="467">
        <f t="shared" si="4"/>
        <v>3.7499999999999999E-2</v>
      </c>
      <c r="V53" s="467">
        <f t="shared" si="4"/>
        <v>0.04</v>
      </c>
      <c r="W53" s="467">
        <f t="shared" si="4"/>
        <v>4.2500000000000003E-2</v>
      </c>
      <c r="X53" s="467">
        <f t="shared" si="4"/>
        <v>4.5000000000000005E-2</v>
      </c>
      <c r="Y53" s="467">
        <f t="shared" ref="Y53:Z54" si="5">($AU53/20)+X53</f>
        <v>4.7500000000000007E-2</v>
      </c>
      <c r="Z53" s="467">
        <f t="shared" si="5"/>
        <v>5.000000000000001E-2</v>
      </c>
      <c r="AA53" s="467">
        <f>(($AV53-$AU53)/20)+Z53</f>
        <v>5.2500000000000012E-2</v>
      </c>
      <c r="AB53" s="467">
        <f t="shared" ref="AB53:AQ54" si="6">(($AV53-$AU53)/20)+AA53</f>
        <v>5.5000000000000014E-2</v>
      </c>
      <c r="AC53" s="467">
        <f t="shared" si="6"/>
        <v>5.7500000000000016E-2</v>
      </c>
      <c r="AD53" s="467">
        <f t="shared" si="6"/>
        <v>6.0000000000000019E-2</v>
      </c>
      <c r="AE53" s="467">
        <f t="shared" si="6"/>
        <v>6.2500000000000014E-2</v>
      </c>
      <c r="AF53" s="467">
        <f t="shared" si="6"/>
        <v>6.5000000000000016E-2</v>
      </c>
      <c r="AG53" s="467">
        <f t="shared" si="6"/>
        <v>6.7500000000000018E-2</v>
      </c>
      <c r="AH53" s="467">
        <f t="shared" si="6"/>
        <v>7.0000000000000021E-2</v>
      </c>
      <c r="AI53" s="467">
        <f t="shared" si="6"/>
        <v>7.2500000000000023E-2</v>
      </c>
      <c r="AJ53" s="467">
        <f t="shared" si="6"/>
        <v>7.5000000000000025E-2</v>
      </c>
      <c r="AK53" s="467">
        <f t="shared" si="6"/>
        <v>7.7500000000000027E-2</v>
      </c>
      <c r="AL53" s="467">
        <f t="shared" si="6"/>
        <v>8.0000000000000029E-2</v>
      </c>
      <c r="AM53" s="467">
        <f t="shared" si="6"/>
        <v>8.2500000000000032E-2</v>
      </c>
      <c r="AN53" s="467">
        <f t="shared" si="6"/>
        <v>8.5000000000000034E-2</v>
      </c>
      <c r="AO53" s="467">
        <f t="shared" si="6"/>
        <v>8.7500000000000036E-2</v>
      </c>
      <c r="AP53" s="467">
        <f t="shared" si="6"/>
        <v>9.0000000000000038E-2</v>
      </c>
      <c r="AQ53" s="467">
        <f t="shared" si="6"/>
        <v>9.2500000000000041E-2</v>
      </c>
      <c r="AR53" s="467">
        <f t="shared" ref="AR53:AT54" si="7">(($AV53-$AU53)/20)+AQ53</f>
        <v>9.5000000000000043E-2</v>
      </c>
      <c r="AS53" s="467">
        <f t="shared" si="7"/>
        <v>9.7500000000000045E-2</v>
      </c>
      <c r="AT53" s="467">
        <f t="shared" si="7"/>
        <v>0.10000000000000005</v>
      </c>
      <c r="AU53" s="486">
        <v>0.05</v>
      </c>
      <c r="AV53" s="487">
        <v>0.1</v>
      </c>
      <c r="AW53" s="705" t="s">
        <v>418</v>
      </c>
    </row>
    <row r="54" spans="1:50" x14ac:dyDescent="0.2">
      <c r="A54" s="436"/>
      <c r="B54" s="950"/>
      <c r="C54" s="960"/>
      <c r="D54" s="485"/>
      <c r="E54" s="482" t="str">
        <f t="shared" si="1"/>
        <v>No-till</v>
      </c>
      <c r="F54" s="467">
        <v>0</v>
      </c>
      <c r="G54" s="467">
        <f>$AU54/20</f>
        <v>2.5000000000000001E-3</v>
      </c>
      <c r="H54" s="467">
        <f>($AU54/20)+G54</f>
        <v>5.0000000000000001E-3</v>
      </c>
      <c r="I54" s="467">
        <f t="shared" si="4"/>
        <v>7.4999999999999997E-3</v>
      </c>
      <c r="J54" s="467">
        <f t="shared" si="4"/>
        <v>0.01</v>
      </c>
      <c r="K54" s="467">
        <f t="shared" si="4"/>
        <v>1.2500000000000001E-2</v>
      </c>
      <c r="L54" s="467">
        <f t="shared" si="4"/>
        <v>1.5000000000000001E-2</v>
      </c>
      <c r="M54" s="467">
        <f t="shared" si="4"/>
        <v>1.7500000000000002E-2</v>
      </c>
      <c r="N54" s="467">
        <f t="shared" si="4"/>
        <v>0.02</v>
      </c>
      <c r="O54" s="467">
        <f t="shared" si="4"/>
        <v>2.2499999999999999E-2</v>
      </c>
      <c r="P54" s="467">
        <f t="shared" si="4"/>
        <v>2.4999999999999998E-2</v>
      </c>
      <c r="Q54" s="467">
        <f t="shared" si="4"/>
        <v>2.7499999999999997E-2</v>
      </c>
      <c r="R54" s="467">
        <f t="shared" si="4"/>
        <v>2.9999999999999995E-2</v>
      </c>
      <c r="S54" s="467">
        <f t="shared" si="4"/>
        <v>3.2499999999999994E-2</v>
      </c>
      <c r="T54" s="467">
        <f t="shared" si="4"/>
        <v>3.4999999999999996E-2</v>
      </c>
      <c r="U54" s="467">
        <f t="shared" si="4"/>
        <v>3.7499999999999999E-2</v>
      </c>
      <c r="V54" s="467">
        <f t="shared" si="4"/>
        <v>0.04</v>
      </c>
      <c r="W54" s="467">
        <f t="shared" si="4"/>
        <v>4.2500000000000003E-2</v>
      </c>
      <c r="X54" s="467">
        <f t="shared" si="4"/>
        <v>4.5000000000000005E-2</v>
      </c>
      <c r="Y54" s="467">
        <f t="shared" si="5"/>
        <v>4.7500000000000007E-2</v>
      </c>
      <c r="Z54" s="467">
        <f t="shared" si="5"/>
        <v>5.000000000000001E-2</v>
      </c>
      <c r="AA54" s="467">
        <f>(($AV54-$AU54)/20)+Z54</f>
        <v>5.2500000000000012E-2</v>
      </c>
      <c r="AB54" s="467">
        <f t="shared" si="6"/>
        <v>5.5000000000000014E-2</v>
      </c>
      <c r="AC54" s="467">
        <f t="shared" si="6"/>
        <v>5.7500000000000016E-2</v>
      </c>
      <c r="AD54" s="467">
        <f t="shared" si="6"/>
        <v>6.0000000000000019E-2</v>
      </c>
      <c r="AE54" s="467">
        <f t="shared" si="6"/>
        <v>6.2500000000000014E-2</v>
      </c>
      <c r="AF54" s="467">
        <f t="shared" si="6"/>
        <v>6.5000000000000016E-2</v>
      </c>
      <c r="AG54" s="467">
        <f t="shared" si="6"/>
        <v>6.7500000000000018E-2</v>
      </c>
      <c r="AH54" s="467">
        <f t="shared" si="6"/>
        <v>7.0000000000000021E-2</v>
      </c>
      <c r="AI54" s="467">
        <f t="shared" si="6"/>
        <v>7.2500000000000023E-2</v>
      </c>
      <c r="AJ54" s="467">
        <f t="shared" si="6"/>
        <v>7.5000000000000025E-2</v>
      </c>
      <c r="AK54" s="467">
        <f t="shared" si="6"/>
        <v>7.7500000000000027E-2</v>
      </c>
      <c r="AL54" s="467">
        <f t="shared" si="6"/>
        <v>8.0000000000000029E-2</v>
      </c>
      <c r="AM54" s="467">
        <f t="shared" si="6"/>
        <v>8.2500000000000032E-2</v>
      </c>
      <c r="AN54" s="467">
        <f t="shared" si="6"/>
        <v>8.5000000000000034E-2</v>
      </c>
      <c r="AO54" s="467">
        <f t="shared" si="6"/>
        <v>8.7500000000000036E-2</v>
      </c>
      <c r="AP54" s="467">
        <f t="shared" si="6"/>
        <v>9.0000000000000038E-2</v>
      </c>
      <c r="AQ54" s="467">
        <f t="shared" si="6"/>
        <v>9.2500000000000041E-2</v>
      </c>
      <c r="AR54" s="467">
        <f t="shared" si="7"/>
        <v>9.5000000000000043E-2</v>
      </c>
      <c r="AS54" s="467">
        <f t="shared" si="7"/>
        <v>9.7500000000000045E-2</v>
      </c>
      <c r="AT54" s="467">
        <f t="shared" si="7"/>
        <v>0.10000000000000005</v>
      </c>
      <c r="AU54" s="486">
        <v>0.05</v>
      </c>
      <c r="AV54" s="487">
        <v>0.1</v>
      </c>
      <c r="AW54" s="705"/>
    </row>
    <row r="55" spans="1:50" x14ac:dyDescent="0.2">
      <c r="A55" s="436"/>
      <c r="B55" s="950" t="str">
        <f>B27</f>
        <v>HAC</v>
      </c>
      <c r="C55" s="960" t="str">
        <f>C27</f>
        <v>wheat</v>
      </c>
      <c r="D55" s="485">
        <v>18182.52</v>
      </c>
      <c r="E55" s="482" t="str">
        <f t="shared" si="1"/>
        <v>Full till</v>
      </c>
      <c r="F55" s="467">
        <v>1</v>
      </c>
      <c r="G55" s="467">
        <f>$F$52-SUM(G56:G57)</f>
        <v>0.995</v>
      </c>
      <c r="H55" s="467">
        <f t="shared" ref="H55:K55" si="8">$F$52-SUM(H56:H57)</f>
        <v>0.99</v>
      </c>
      <c r="I55" s="467">
        <f t="shared" si="8"/>
        <v>0.98499999999999999</v>
      </c>
      <c r="J55" s="467">
        <f t="shared" si="8"/>
        <v>0.98</v>
      </c>
      <c r="K55" s="467">
        <f t="shared" si="8"/>
        <v>0.97499999999999998</v>
      </c>
      <c r="L55" s="467">
        <f>$F$52-SUM(L56:L57)</f>
        <v>0.97</v>
      </c>
      <c r="M55" s="467">
        <f t="shared" ref="M55:AT55" si="9">$F$52-SUM(M56:M57)</f>
        <v>0.96499999999999997</v>
      </c>
      <c r="N55" s="467">
        <f t="shared" si="9"/>
        <v>0.96</v>
      </c>
      <c r="O55" s="467">
        <f t="shared" si="9"/>
        <v>0.95499999999999996</v>
      </c>
      <c r="P55" s="467">
        <f t="shared" si="9"/>
        <v>0.95</v>
      </c>
      <c r="Q55" s="467">
        <f t="shared" si="9"/>
        <v>0.94500000000000006</v>
      </c>
      <c r="R55" s="467">
        <f t="shared" si="9"/>
        <v>0.94000000000000006</v>
      </c>
      <c r="S55" s="467">
        <f t="shared" si="9"/>
        <v>0.93500000000000005</v>
      </c>
      <c r="T55" s="467">
        <f t="shared" si="9"/>
        <v>0.93</v>
      </c>
      <c r="U55" s="467">
        <f t="shared" si="9"/>
        <v>0.92500000000000004</v>
      </c>
      <c r="V55" s="467">
        <f t="shared" si="9"/>
        <v>0.92</v>
      </c>
      <c r="W55" s="467">
        <f t="shared" si="9"/>
        <v>0.91500000000000004</v>
      </c>
      <c r="X55" s="467">
        <f t="shared" si="9"/>
        <v>0.91</v>
      </c>
      <c r="Y55" s="467">
        <f t="shared" si="9"/>
        <v>0.90500000000000003</v>
      </c>
      <c r="Z55" s="467">
        <f t="shared" si="9"/>
        <v>0.9</v>
      </c>
      <c r="AA55" s="467">
        <f t="shared" si="9"/>
        <v>0.89500000000000002</v>
      </c>
      <c r="AB55" s="467">
        <f t="shared" si="9"/>
        <v>0.89</v>
      </c>
      <c r="AC55" s="467">
        <f t="shared" si="9"/>
        <v>0.88500000000000001</v>
      </c>
      <c r="AD55" s="467">
        <f t="shared" si="9"/>
        <v>0.88</v>
      </c>
      <c r="AE55" s="467">
        <f t="shared" si="9"/>
        <v>0.875</v>
      </c>
      <c r="AF55" s="467">
        <f t="shared" si="9"/>
        <v>0.87</v>
      </c>
      <c r="AG55" s="467">
        <f t="shared" si="9"/>
        <v>0.86499999999999999</v>
      </c>
      <c r="AH55" s="467">
        <f t="shared" si="9"/>
        <v>0.86</v>
      </c>
      <c r="AI55" s="467">
        <f t="shared" si="9"/>
        <v>0.85499999999999998</v>
      </c>
      <c r="AJ55" s="467">
        <f t="shared" si="9"/>
        <v>0.85</v>
      </c>
      <c r="AK55" s="467">
        <f t="shared" si="9"/>
        <v>0.84499999999999997</v>
      </c>
      <c r="AL55" s="467">
        <f t="shared" si="9"/>
        <v>0.84</v>
      </c>
      <c r="AM55" s="467">
        <f t="shared" si="9"/>
        <v>0.83499999999999996</v>
      </c>
      <c r="AN55" s="467">
        <f t="shared" si="9"/>
        <v>0.83</v>
      </c>
      <c r="AO55" s="467">
        <f t="shared" si="9"/>
        <v>0.82499999999999996</v>
      </c>
      <c r="AP55" s="467">
        <f t="shared" si="9"/>
        <v>0.82</v>
      </c>
      <c r="AQ55" s="467">
        <f t="shared" si="9"/>
        <v>0.81499999999999995</v>
      </c>
      <c r="AR55" s="467">
        <f t="shared" si="9"/>
        <v>0.80999999999999994</v>
      </c>
      <c r="AS55" s="467">
        <f t="shared" si="9"/>
        <v>0.80499999999999994</v>
      </c>
      <c r="AT55" s="467">
        <f t="shared" si="9"/>
        <v>0.79999999999999993</v>
      </c>
      <c r="AU55" s="486"/>
      <c r="AV55" s="487"/>
      <c r="AW55" s="705"/>
    </row>
    <row r="56" spans="1:50" x14ac:dyDescent="0.2">
      <c r="A56" s="436"/>
      <c r="B56" s="950"/>
      <c r="C56" s="960"/>
      <c r="D56" s="485"/>
      <c r="E56" s="482" t="str">
        <f t="shared" si="1"/>
        <v>Reduced till</v>
      </c>
      <c r="F56" s="467">
        <v>0</v>
      </c>
      <c r="G56" s="467">
        <f>$AU56/20</f>
        <v>2.5000000000000001E-3</v>
      </c>
      <c r="H56" s="467">
        <f>($AU56/20)+G56</f>
        <v>5.0000000000000001E-3</v>
      </c>
      <c r="I56" s="467">
        <f t="shared" ref="I56:X57" si="10">($AU56/20)+H56</f>
        <v>7.4999999999999997E-3</v>
      </c>
      <c r="J56" s="467">
        <f t="shared" si="10"/>
        <v>0.01</v>
      </c>
      <c r="K56" s="467">
        <f t="shared" si="10"/>
        <v>1.2500000000000001E-2</v>
      </c>
      <c r="L56" s="467">
        <f t="shared" si="10"/>
        <v>1.5000000000000001E-2</v>
      </c>
      <c r="M56" s="467">
        <f t="shared" si="10"/>
        <v>1.7500000000000002E-2</v>
      </c>
      <c r="N56" s="467">
        <f t="shared" si="10"/>
        <v>0.02</v>
      </c>
      <c r="O56" s="467">
        <f t="shared" si="10"/>
        <v>2.2499999999999999E-2</v>
      </c>
      <c r="P56" s="467">
        <f t="shared" si="10"/>
        <v>2.4999999999999998E-2</v>
      </c>
      <c r="Q56" s="467">
        <f t="shared" si="10"/>
        <v>2.7499999999999997E-2</v>
      </c>
      <c r="R56" s="467">
        <f t="shared" si="10"/>
        <v>2.9999999999999995E-2</v>
      </c>
      <c r="S56" s="467">
        <f t="shared" si="10"/>
        <v>3.2499999999999994E-2</v>
      </c>
      <c r="T56" s="467">
        <f t="shared" si="10"/>
        <v>3.4999999999999996E-2</v>
      </c>
      <c r="U56" s="467">
        <f t="shared" si="10"/>
        <v>3.7499999999999999E-2</v>
      </c>
      <c r="V56" s="467">
        <f t="shared" si="10"/>
        <v>0.04</v>
      </c>
      <c r="W56" s="467">
        <f t="shared" si="10"/>
        <v>4.2500000000000003E-2</v>
      </c>
      <c r="X56" s="467">
        <f t="shared" si="10"/>
        <v>4.5000000000000005E-2</v>
      </c>
      <c r="Y56" s="467">
        <f t="shared" ref="Y56:Z57" si="11">($AU56/20)+X56</f>
        <v>4.7500000000000007E-2</v>
      </c>
      <c r="Z56" s="467">
        <f t="shared" si="11"/>
        <v>5.000000000000001E-2</v>
      </c>
      <c r="AA56" s="467">
        <f>(($AV56-$AU56)/20)+Z56</f>
        <v>5.2500000000000012E-2</v>
      </c>
      <c r="AB56" s="467">
        <f t="shared" ref="AB56:AQ57" si="12">(($AV56-$AU56)/20)+AA56</f>
        <v>5.5000000000000014E-2</v>
      </c>
      <c r="AC56" s="467">
        <f t="shared" si="12"/>
        <v>5.7500000000000016E-2</v>
      </c>
      <c r="AD56" s="467">
        <f t="shared" si="12"/>
        <v>6.0000000000000019E-2</v>
      </c>
      <c r="AE56" s="467">
        <f t="shared" si="12"/>
        <v>6.2500000000000014E-2</v>
      </c>
      <c r="AF56" s="467">
        <f t="shared" si="12"/>
        <v>6.5000000000000016E-2</v>
      </c>
      <c r="AG56" s="467">
        <f t="shared" si="12"/>
        <v>6.7500000000000018E-2</v>
      </c>
      <c r="AH56" s="467">
        <f t="shared" si="12"/>
        <v>7.0000000000000021E-2</v>
      </c>
      <c r="AI56" s="467">
        <f t="shared" si="12"/>
        <v>7.2500000000000023E-2</v>
      </c>
      <c r="AJ56" s="467">
        <f t="shared" si="12"/>
        <v>7.5000000000000025E-2</v>
      </c>
      <c r="AK56" s="467">
        <f t="shared" si="12"/>
        <v>7.7500000000000027E-2</v>
      </c>
      <c r="AL56" s="467">
        <f t="shared" si="12"/>
        <v>8.0000000000000029E-2</v>
      </c>
      <c r="AM56" s="467">
        <f t="shared" si="12"/>
        <v>8.2500000000000032E-2</v>
      </c>
      <c r="AN56" s="467">
        <f t="shared" si="12"/>
        <v>8.5000000000000034E-2</v>
      </c>
      <c r="AO56" s="467">
        <f t="shared" si="12"/>
        <v>8.7500000000000036E-2</v>
      </c>
      <c r="AP56" s="467">
        <f t="shared" si="12"/>
        <v>9.0000000000000038E-2</v>
      </c>
      <c r="AQ56" s="467">
        <f t="shared" si="12"/>
        <v>9.2500000000000041E-2</v>
      </c>
      <c r="AR56" s="467">
        <f t="shared" ref="AR56:AT57" si="13">(($AV56-$AU56)/20)+AQ56</f>
        <v>9.5000000000000043E-2</v>
      </c>
      <c r="AS56" s="467">
        <f t="shared" si="13"/>
        <v>9.7500000000000045E-2</v>
      </c>
      <c r="AT56" s="467">
        <f t="shared" si="13"/>
        <v>0.10000000000000005</v>
      </c>
      <c r="AU56" s="486">
        <v>0.05</v>
      </c>
      <c r="AV56" s="487">
        <v>0.1</v>
      </c>
      <c r="AW56" s="705"/>
    </row>
    <row r="57" spans="1:50" x14ac:dyDescent="0.2">
      <c r="A57" s="436"/>
      <c r="B57" s="950"/>
      <c r="C57" s="960"/>
      <c r="D57" s="485"/>
      <c r="E57" s="482" t="str">
        <f t="shared" si="1"/>
        <v>No-till</v>
      </c>
      <c r="F57" s="467">
        <v>0</v>
      </c>
      <c r="G57" s="467">
        <f>$AU57/20</f>
        <v>2.5000000000000001E-3</v>
      </c>
      <c r="H57" s="467">
        <f>($AU57/20)+G57</f>
        <v>5.0000000000000001E-3</v>
      </c>
      <c r="I57" s="467">
        <f t="shared" si="10"/>
        <v>7.4999999999999997E-3</v>
      </c>
      <c r="J57" s="467">
        <f t="shared" si="10"/>
        <v>0.01</v>
      </c>
      <c r="K57" s="467">
        <f t="shared" si="10"/>
        <v>1.2500000000000001E-2</v>
      </c>
      <c r="L57" s="467">
        <f t="shared" si="10"/>
        <v>1.5000000000000001E-2</v>
      </c>
      <c r="M57" s="467">
        <f t="shared" si="10"/>
        <v>1.7500000000000002E-2</v>
      </c>
      <c r="N57" s="467">
        <f t="shared" si="10"/>
        <v>0.02</v>
      </c>
      <c r="O57" s="467">
        <f t="shared" si="10"/>
        <v>2.2499999999999999E-2</v>
      </c>
      <c r="P57" s="467">
        <f t="shared" si="10"/>
        <v>2.4999999999999998E-2</v>
      </c>
      <c r="Q57" s="467">
        <f t="shared" si="10"/>
        <v>2.7499999999999997E-2</v>
      </c>
      <c r="R57" s="467">
        <f t="shared" si="10"/>
        <v>2.9999999999999995E-2</v>
      </c>
      <c r="S57" s="467">
        <f t="shared" si="10"/>
        <v>3.2499999999999994E-2</v>
      </c>
      <c r="T57" s="467">
        <f t="shared" si="10"/>
        <v>3.4999999999999996E-2</v>
      </c>
      <c r="U57" s="467">
        <f t="shared" si="10"/>
        <v>3.7499999999999999E-2</v>
      </c>
      <c r="V57" s="467">
        <f t="shared" si="10"/>
        <v>0.04</v>
      </c>
      <c r="W57" s="467">
        <f t="shared" si="10"/>
        <v>4.2500000000000003E-2</v>
      </c>
      <c r="X57" s="467">
        <f t="shared" si="10"/>
        <v>4.5000000000000005E-2</v>
      </c>
      <c r="Y57" s="467">
        <f t="shared" si="11"/>
        <v>4.7500000000000007E-2</v>
      </c>
      <c r="Z57" s="467">
        <f t="shared" si="11"/>
        <v>5.000000000000001E-2</v>
      </c>
      <c r="AA57" s="467">
        <f>(($AV57-$AU57)/20)+Z57</f>
        <v>5.2500000000000012E-2</v>
      </c>
      <c r="AB57" s="467">
        <f t="shared" si="12"/>
        <v>5.5000000000000014E-2</v>
      </c>
      <c r="AC57" s="467">
        <f t="shared" si="12"/>
        <v>5.7500000000000016E-2</v>
      </c>
      <c r="AD57" s="467">
        <f t="shared" si="12"/>
        <v>6.0000000000000019E-2</v>
      </c>
      <c r="AE57" s="467">
        <f t="shared" si="12"/>
        <v>6.2500000000000014E-2</v>
      </c>
      <c r="AF57" s="467">
        <f t="shared" si="12"/>
        <v>6.5000000000000016E-2</v>
      </c>
      <c r="AG57" s="467">
        <f t="shared" si="12"/>
        <v>6.7500000000000018E-2</v>
      </c>
      <c r="AH57" s="467">
        <f t="shared" si="12"/>
        <v>7.0000000000000021E-2</v>
      </c>
      <c r="AI57" s="467">
        <f t="shared" si="12"/>
        <v>7.2500000000000023E-2</v>
      </c>
      <c r="AJ57" s="467">
        <f t="shared" si="12"/>
        <v>7.5000000000000025E-2</v>
      </c>
      <c r="AK57" s="467">
        <f t="shared" si="12"/>
        <v>7.7500000000000027E-2</v>
      </c>
      <c r="AL57" s="467">
        <f t="shared" si="12"/>
        <v>8.0000000000000029E-2</v>
      </c>
      <c r="AM57" s="467">
        <f t="shared" si="12"/>
        <v>8.2500000000000032E-2</v>
      </c>
      <c r="AN57" s="467">
        <f t="shared" si="12"/>
        <v>8.5000000000000034E-2</v>
      </c>
      <c r="AO57" s="467">
        <f t="shared" si="12"/>
        <v>8.7500000000000036E-2</v>
      </c>
      <c r="AP57" s="467">
        <f t="shared" si="12"/>
        <v>9.0000000000000038E-2</v>
      </c>
      <c r="AQ57" s="467">
        <f t="shared" si="12"/>
        <v>9.2500000000000041E-2</v>
      </c>
      <c r="AR57" s="467">
        <f t="shared" si="13"/>
        <v>9.5000000000000043E-2</v>
      </c>
      <c r="AS57" s="467">
        <f t="shared" si="13"/>
        <v>9.7500000000000045E-2</v>
      </c>
      <c r="AT57" s="467">
        <f t="shared" si="13"/>
        <v>0.10000000000000005</v>
      </c>
      <c r="AU57" s="486">
        <v>0.05</v>
      </c>
      <c r="AV57" s="487">
        <v>0.1</v>
      </c>
      <c r="AW57" s="705"/>
    </row>
    <row r="58" spans="1:50" x14ac:dyDescent="0.2">
      <c r="A58" s="436"/>
      <c r="B58" s="950" t="str">
        <f>B30</f>
        <v>HAC</v>
      </c>
      <c r="C58" s="960" t="str">
        <f>C30</f>
        <v>cassava-beans</v>
      </c>
      <c r="D58" s="485">
        <v>8586.19</v>
      </c>
      <c r="E58" s="482" t="str">
        <f t="shared" si="1"/>
        <v>Full till</v>
      </c>
      <c r="F58" s="467">
        <v>1</v>
      </c>
      <c r="G58" s="467">
        <f>$F$52-SUM(G59:G60)</f>
        <v>0.995</v>
      </c>
      <c r="H58" s="467">
        <f t="shared" ref="H58:K58" si="14">$F$52-SUM(H59:H60)</f>
        <v>0.99</v>
      </c>
      <c r="I58" s="467">
        <f t="shared" si="14"/>
        <v>0.98499999999999999</v>
      </c>
      <c r="J58" s="467">
        <f t="shared" si="14"/>
        <v>0.98</v>
      </c>
      <c r="K58" s="467">
        <f t="shared" si="14"/>
        <v>0.97499999999999998</v>
      </c>
      <c r="L58" s="467">
        <f>$F$52-SUM(L59:L60)</f>
        <v>0.97</v>
      </c>
      <c r="M58" s="467">
        <f t="shared" ref="M58:AT58" si="15">$F$52-SUM(M59:M60)</f>
        <v>0.96499999999999997</v>
      </c>
      <c r="N58" s="467">
        <f t="shared" si="15"/>
        <v>0.96</v>
      </c>
      <c r="O58" s="467">
        <f t="shared" si="15"/>
        <v>0.95499999999999996</v>
      </c>
      <c r="P58" s="467">
        <f t="shared" si="15"/>
        <v>0.95</v>
      </c>
      <c r="Q58" s="467">
        <f t="shared" si="15"/>
        <v>0.94500000000000006</v>
      </c>
      <c r="R58" s="467">
        <f t="shared" si="15"/>
        <v>0.94000000000000006</v>
      </c>
      <c r="S58" s="467">
        <f t="shared" si="15"/>
        <v>0.93500000000000005</v>
      </c>
      <c r="T58" s="467">
        <f t="shared" si="15"/>
        <v>0.93</v>
      </c>
      <c r="U58" s="467">
        <f t="shared" si="15"/>
        <v>0.92500000000000004</v>
      </c>
      <c r="V58" s="467">
        <f t="shared" si="15"/>
        <v>0.92</v>
      </c>
      <c r="W58" s="467">
        <f t="shared" si="15"/>
        <v>0.91500000000000004</v>
      </c>
      <c r="X58" s="467">
        <f t="shared" si="15"/>
        <v>0.91</v>
      </c>
      <c r="Y58" s="467">
        <f t="shared" si="15"/>
        <v>0.90500000000000003</v>
      </c>
      <c r="Z58" s="467">
        <f t="shared" si="15"/>
        <v>0.9</v>
      </c>
      <c r="AA58" s="467">
        <f t="shared" si="15"/>
        <v>0.89500000000000002</v>
      </c>
      <c r="AB58" s="467">
        <f t="shared" si="15"/>
        <v>0.89</v>
      </c>
      <c r="AC58" s="467">
        <f t="shared" si="15"/>
        <v>0.88500000000000001</v>
      </c>
      <c r="AD58" s="467">
        <f t="shared" si="15"/>
        <v>0.88</v>
      </c>
      <c r="AE58" s="467">
        <f t="shared" si="15"/>
        <v>0.875</v>
      </c>
      <c r="AF58" s="467">
        <f t="shared" si="15"/>
        <v>0.87</v>
      </c>
      <c r="AG58" s="467">
        <f t="shared" si="15"/>
        <v>0.86499999999999999</v>
      </c>
      <c r="AH58" s="467">
        <f t="shared" si="15"/>
        <v>0.86</v>
      </c>
      <c r="AI58" s="467">
        <f t="shared" si="15"/>
        <v>0.85499999999999998</v>
      </c>
      <c r="AJ58" s="467">
        <f t="shared" si="15"/>
        <v>0.85</v>
      </c>
      <c r="AK58" s="467">
        <f t="shared" si="15"/>
        <v>0.84499999999999997</v>
      </c>
      <c r="AL58" s="467">
        <f t="shared" si="15"/>
        <v>0.84</v>
      </c>
      <c r="AM58" s="467">
        <f t="shared" si="15"/>
        <v>0.83499999999999996</v>
      </c>
      <c r="AN58" s="467">
        <f t="shared" si="15"/>
        <v>0.83</v>
      </c>
      <c r="AO58" s="467">
        <f t="shared" si="15"/>
        <v>0.82499999999999996</v>
      </c>
      <c r="AP58" s="467">
        <f t="shared" si="15"/>
        <v>0.82</v>
      </c>
      <c r="AQ58" s="467">
        <f t="shared" si="15"/>
        <v>0.81499999999999995</v>
      </c>
      <c r="AR58" s="467">
        <f t="shared" si="15"/>
        <v>0.80999999999999994</v>
      </c>
      <c r="AS58" s="467">
        <f t="shared" si="15"/>
        <v>0.80499999999999994</v>
      </c>
      <c r="AT58" s="467">
        <f t="shared" si="15"/>
        <v>0.79999999999999993</v>
      </c>
      <c r="AU58" s="486"/>
      <c r="AV58" s="487"/>
      <c r="AW58" s="705"/>
    </row>
    <row r="59" spans="1:50" x14ac:dyDescent="0.2">
      <c r="A59" s="436"/>
      <c r="B59" s="950"/>
      <c r="C59" s="960"/>
      <c r="D59" s="485"/>
      <c r="E59" s="482" t="str">
        <f t="shared" si="1"/>
        <v>Reduced till</v>
      </c>
      <c r="F59" s="467">
        <v>0</v>
      </c>
      <c r="G59" s="467">
        <f>$AU59/20</f>
        <v>2.5000000000000001E-3</v>
      </c>
      <c r="H59" s="467">
        <f>($AU59/20)+G59</f>
        <v>5.0000000000000001E-3</v>
      </c>
      <c r="I59" s="467">
        <f t="shared" ref="I59:X60" si="16">($AU59/20)+H59</f>
        <v>7.4999999999999997E-3</v>
      </c>
      <c r="J59" s="467">
        <f t="shared" si="16"/>
        <v>0.01</v>
      </c>
      <c r="K59" s="467">
        <f t="shared" si="16"/>
        <v>1.2500000000000001E-2</v>
      </c>
      <c r="L59" s="467">
        <f t="shared" si="16"/>
        <v>1.5000000000000001E-2</v>
      </c>
      <c r="M59" s="467">
        <f t="shared" si="16"/>
        <v>1.7500000000000002E-2</v>
      </c>
      <c r="N59" s="467">
        <f t="shared" si="16"/>
        <v>0.02</v>
      </c>
      <c r="O59" s="467">
        <f t="shared" si="16"/>
        <v>2.2499999999999999E-2</v>
      </c>
      <c r="P59" s="467">
        <f t="shared" si="16"/>
        <v>2.4999999999999998E-2</v>
      </c>
      <c r="Q59" s="467">
        <f t="shared" si="16"/>
        <v>2.7499999999999997E-2</v>
      </c>
      <c r="R59" s="467">
        <f t="shared" si="16"/>
        <v>2.9999999999999995E-2</v>
      </c>
      <c r="S59" s="467">
        <f t="shared" si="16"/>
        <v>3.2499999999999994E-2</v>
      </c>
      <c r="T59" s="467">
        <f t="shared" si="16"/>
        <v>3.4999999999999996E-2</v>
      </c>
      <c r="U59" s="467">
        <f t="shared" si="16"/>
        <v>3.7499999999999999E-2</v>
      </c>
      <c r="V59" s="467">
        <f t="shared" si="16"/>
        <v>0.04</v>
      </c>
      <c r="W59" s="467">
        <f t="shared" si="16"/>
        <v>4.2500000000000003E-2</v>
      </c>
      <c r="X59" s="467">
        <f t="shared" si="16"/>
        <v>4.5000000000000005E-2</v>
      </c>
      <c r="Y59" s="467">
        <f t="shared" ref="Y59:Z60" si="17">($AU59/20)+X59</f>
        <v>4.7500000000000007E-2</v>
      </c>
      <c r="Z59" s="467">
        <f t="shared" si="17"/>
        <v>5.000000000000001E-2</v>
      </c>
      <c r="AA59" s="467">
        <f>(($AV59-$AU59)/20)+Z59</f>
        <v>5.2500000000000012E-2</v>
      </c>
      <c r="AB59" s="467">
        <f t="shared" ref="AB59:AQ60" si="18">(($AV59-$AU59)/20)+AA59</f>
        <v>5.5000000000000014E-2</v>
      </c>
      <c r="AC59" s="467">
        <f t="shared" si="18"/>
        <v>5.7500000000000016E-2</v>
      </c>
      <c r="AD59" s="467">
        <f t="shared" si="18"/>
        <v>6.0000000000000019E-2</v>
      </c>
      <c r="AE59" s="467">
        <f t="shared" si="18"/>
        <v>6.2500000000000014E-2</v>
      </c>
      <c r="AF59" s="467">
        <f t="shared" si="18"/>
        <v>6.5000000000000016E-2</v>
      </c>
      <c r="AG59" s="467">
        <f t="shared" si="18"/>
        <v>6.7500000000000018E-2</v>
      </c>
      <c r="AH59" s="467">
        <f t="shared" si="18"/>
        <v>7.0000000000000021E-2</v>
      </c>
      <c r="AI59" s="467">
        <f t="shared" si="18"/>
        <v>7.2500000000000023E-2</v>
      </c>
      <c r="AJ59" s="467">
        <f t="shared" si="18"/>
        <v>7.5000000000000025E-2</v>
      </c>
      <c r="AK59" s="467">
        <f t="shared" si="18"/>
        <v>7.7500000000000027E-2</v>
      </c>
      <c r="AL59" s="467">
        <f t="shared" si="18"/>
        <v>8.0000000000000029E-2</v>
      </c>
      <c r="AM59" s="467">
        <f t="shared" si="18"/>
        <v>8.2500000000000032E-2</v>
      </c>
      <c r="AN59" s="467">
        <f t="shared" si="18"/>
        <v>8.5000000000000034E-2</v>
      </c>
      <c r="AO59" s="467">
        <f t="shared" si="18"/>
        <v>8.7500000000000036E-2</v>
      </c>
      <c r="AP59" s="467">
        <f t="shared" si="18"/>
        <v>9.0000000000000038E-2</v>
      </c>
      <c r="AQ59" s="467">
        <f t="shared" si="18"/>
        <v>9.2500000000000041E-2</v>
      </c>
      <c r="AR59" s="467">
        <f t="shared" ref="AR59:AT60" si="19">(($AV59-$AU59)/20)+AQ59</f>
        <v>9.5000000000000043E-2</v>
      </c>
      <c r="AS59" s="467">
        <f t="shared" si="19"/>
        <v>9.7500000000000045E-2</v>
      </c>
      <c r="AT59" s="467">
        <f t="shared" si="19"/>
        <v>0.10000000000000005</v>
      </c>
      <c r="AU59" s="486">
        <v>0.05</v>
      </c>
      <c r="AV59" s="487">
        <v>0.1</v>
      </c>
      <c r="AW59" s="705"/>
    </row>
    <row r="60" spans="1:50" x14ac:dyDescent="0.2">
      <c r="A60" s="436"/>
      <c r="B60" s="950"/>
      <c r="C60" s="960"/>
      <c r="D60" s="485"/>
      <c r="E60" s="482" t="str">
        <f t="shared" si="1"/>
        <v>No-till</v>
      </c>
      <c r="F60" s="467">
        <v>0</v>
      </c>
      <c r="G60" s="467">
        <f>$AU60/20</f>
        <v>2.5000000000000001E-3</v>
      </c>
      <c r="H60" s="467">
        <f>($AU60/20)+G60</f>
        <v>5.0000000000000001E-3</v>
      </c>
      <c r="I60" s="467">
        <f t="shared" si="16"/>
        <v>7.4999999999999997E-3</v>
      </c>
      <c r="J60" s="467">
        <f t="shared" si="16"/>
        <v>0.01</v>
      </c>
      <c r="K60" s="467">
        <f t="shared" si="16"/>
        <v>1.2500000000000001E-2</v>
      </c>
      <c r="L60" s="467">
        <f t="shared" si="16"/>
        <v>1.5000000000000001E-2</v>
      </c>
      <c r="M60" s="467">
        <f t="shared" si="16"/>
        <v>1.7500000000000002E-2</v>
      </c>
      <c r="N60" s="467">
        <f t="shared" si="16"/>
        <v>0.02</v>
      </c>
      <c r="O60" s="467">
        <f t="shared" si="16"/>
        <v>2.2499999999999999E-2</v>
      </c>
      <c r="P60" s="467">
        <f t="shared" si="16"/>
        <v>2.4999999999999998E-2</v>
      </c>
      <c r="Q60" s="467">
        <f t="shared" si="16"/>
        <v>2.7499999999999997E-2</v>
      </c>
      <c r="R60" s="467">
        <f t="shared" si="16"/>
        <v>2.9999999999999995E-2</v>
      </c>
      <c r="S60" s="467">
        <f t="shared" si="16"/>
        <v>3.2499999999999994E-2</v>
      </c>
      <c r="T60" s="467">
        <f t="shared" si="16"/>
        <v>3.4999999999999996E-2</v>
      </c>
      <c r="U60" s="467">
        <f t="shared" si="16"/>
        <v>3.7499999999999999E-2</v>
      </c>
      <c r="V60" s="467">
        <f t="shared" si="16"/>
        <v>0.04</v>
      </c>
      <c r="W60" s="467">
        <f t="shared" si="16"/>
        <v>4.2500000000000003E-2</v>
      </c>
      <c r="X60" s="467">
        <f t="shared" si="16"/>
        <v>4.5000000000000005E-2</v>
      </c>
      <c r="Y60" s="467">
        <f t="shared" si="17"/>
        <v>4.7500000000000007E-2</v>
      </c>
      <c r="Z60" s="467">
        <f t="shared" si="17"/>
        <v>5.000000000000001E-2</v>
      </c>
      <c r="AA60" s="467">
        <f>(($AV60-$AU60)/20)+Z60</f>
        <v>5.2500000000000012E-2</v>
      </c>
      <c r="AB60" s="467">
        <f t="shared" si="18"/>
        <v>5.5000000000000014E-2</v>
      </c>
      <c r="AC60" s="467">
        <f t="shared" si="18"/>
        <v>5.7500000000000016E-2</v>
      </c>
      <c r="AD60" s="467">
        <f t="shared" si="18"/>
        <v>6.0000000000000019E-2</v>
      </c>
      <c r="AE60" s="467">
        <f t="shared" si="18"/>
        <v>6.2500000000000014E-2</v>
      </c>
      <c r="AF60" s="467">
        <f t="shared" si="18"/>
        <v>6.5000000000000016E-2</v>
      </c>
      <c r="AG60" s="467">
        <f t="shared" si="18"/>
        <v>6.7500000000000018E-2</v>
      </c>
      <c r="AH60" s="467">
        <f t="shared" si="18"/>
        <v>7.0000000000000021E-2</v>
      </c>
      <c r="AI60" s="467">
        <f t="shared" si="18"/>
        <v>7.2500000000000023E-2</v>
      </c>
      <c r="AJ60" s="467">
        <f t="shared" si="18"/>
        <v>7.5000000000000025E-2</v>
      </c>
      <c r="AK60" s="467">
        <f t="shared" si="18"/>
        <v>7.7500000000000027E-2</v>
      </c>
      <c r="AL60" s="467">
        <f t="shared" si="18"/>
        <v>8.0000000000000029E-2</v>
      </c>
      <c r="AM60" s="467">
        <f t="shared" si="18"/>
        <v>8.2500000000000032E-2</v>
      </c>
      <c r="AN60" s="467">
        <f t="shared" si="18"/>
        <v>8.5000000000000034E-2</v>
      </c>
      <c r="AO60" s="467">
        <f t="shared" si="18"/>
        <v>8.7500000000000036E-2</v>
      </c>
      <c r="AP60" s="467">
        <f t="shared" si="18"/>
        <v>9.0000000000000038E-2</v>
      </c>
      <c r="AQ60" s="467">
        <f t="shared" si="18"/>
        <v>9.2500000000000041E-2</v>
      </c>
      <c r="AR60" s="467">
        <f t="shared" si="19"/>
        <v>9.5000000000000043E-2</v>
      </c>
      <c r="AS60" s="467">
        <f t="shared" si="19"/>
        <v>9.7500000000000045E-2</v>
      </c>
      <c r="AT60" s="467">
        <f t="shared" si="19"/>
        <v>0.10000000000000005</v>
      </c>
      <c r="AU60" s="486">
        <v>0.05</v>
      </c>
      <c r="AV60" s="487">
        <v>0.1</v>
      </c>
      <c r="AW60" s="705"/>
    </row>
    <row r="61" spans="1:50" x14ac:dyDescent="0.2">
      <c r="A61" s="436"/>
      <c r="B61" s="950" t="str">
        <f>B33</f>
        <v>VOL</v>
      </c>
      <c r="C61" s="960" t="str">
        <f>C33</f>
        <v>vegetables</v>
      </c>
      <c r="D61" s="485">
        <v>4235.4000000000005</v>
      </c>
      <c r="E61" s="482" t="str">
        <f t="shared" si="1"/>
        <v>Full till</v>
      </c>
      <c r="F61" s="467">
        <v>1</v>
      </c>
      <c r="G61" s="467">
        <f>$F$52-SUM(G62:G63)</f>
        <v>0.995</v>
      </c>
      <c r="H61" s="467">
        <f t="shared" ref="H61:K61" si="20">$F$52-SUM(H62:H63)</f>
        <v>0.99</v>
      </c>
      <c r="I61" s="467">
        <f t="shared" si="20"/>
        <v>0.98499999999999999</v>
      </c>
      <c r="J61" s="467">
        <f t="shared" si="20"/>
        <v>0.98</v>
      </c>
      <c r="K61" s="467">
        <f t="shared" si="20"/>
        <v>0.97499999999999998</v>
      </c>
      <c r="L61" s="467">
        <f>$F$52-SUM(L62:L63)</f>
        <v>0.97</v>
      </c>
      <c r="M61" s="467">
        <f t="shared" ref="M61:AT61" si="21">$F$52-SUM(M62:M63)</f>
        <v>0.96499999999999997</v>
      </c>
      <c r="N61" s="467">
        <f t="shared" si="21"/>
        <v>0.96</v>
      </c>
      <c r="O61" s="467">
        <f t="shared" si="21"/>
        <v>0.95499999999999996</v>
      </c>
      <c r="P61" s="467">
        <f t="shared" si="21"/>
        <v>0.95</v>
      </c>
      <c r="Q61" s="467">
        <f t="shared" si="21"/>
        <v>0.94500000000000006</v>
      </c>
      <c r="R61" s="467">
        <f t="shared" si="21"/>
        <v>0.94000000000000006</v>
      </c>
      <c r="S61" s="467">
        <f t="shared" si="21"/>
        <v>0.93500000000000005</v>
      </c>
      <c r="T61" s="467">
        <f t="shared" si="21"/>
        <v>0.93</v>
      </c>
      <c r="U61" s="467">
        <f t="shared" si="21"/>
        <v>0.92500000000000004</v>
      </c>
      <c r="V61" s="467">
        <f t="shared" si="21"/>
        <v>0.92</v>
      </c>
      <c r="W61" s="467">
        <f t="shared" si="21"/>
        <v>0.91500000000000004</v>
      </c>
      <c r="X61" s="467">
        <f t="shared" si="21"/>
        <v>0.91</v>
      </c>
      <c r="Y61" s="467">
        <f t="shared" si="21"/>
        <v>0.90500000000000003</v>
      </c>
      <c r="Z61" s="467">
        <f t="shared" si="21"/>
        <v>0.9</v>
      </c>
      <c r="AA61" s="467">
        <f t="shared" si="21"/>
        <v>0.89500000000000002</v>
      </c>
      <c r="AB61" s="467">
        <f t="shared" si="21"/>
        <v>0.89</v>
      </c>
      <c r="AC61" s="467">
        <f t="shared" si="21"/>
        <v>0.88500000000000001</v>
      </c>
      <c r="AD61" s="467">
        <f t="shared" si="21"/>
        <v>0.88</v>
      </c>
      <c r="AE61" s="467">
        <f t="shared" si="21"/>
        <v>0.875</v>
      </c>
      <c r="AF61" s="467">
        <f t="shared" si="21"/>
        <v>0.87</v>
      </c>
      <c r="AG61" s="467">
        <f t="shared" si="21"/>
        <v>0.86499999999999999</v>
      </c>
      <c r="AH61" s="467">
        <f t="shared" si="21"/>
        <v>0.86</v>
      </c>
      <c r="AI61" s="467">
        <f t="shared" si="21"/>
        <v>0.85499999999999998</v>
      </c>
      <c r="AJ61" s="467">
        <f t="shared" si="21"/>
        <v>0.85</v>
      </c>
      <c r="AK61" s="467">
        <f t="shared" si="21"/>
        <v>0.84499999999999997</v>
      </c>
      <c r="AL61" s="467">
        <f t="shared" si="21"/>
        <v>0.84</v>
      </c>
      <c r="AM61" s="467">
        <f t="shared" si="21"/>
        <v>0.83499999999999996</v>
      </c>
      <c r="AN61" s="467">
        <f t="shared" si="21"/>
        <v>0.83</v>
      </c>
      <c r="AO61" s="467">
        <f t="shared" si="21"/>
        <v>0.82499999999999996</v>
      </c>
      <c r="AP61" s="467">
        <f t="shared" si="21"/>
        <v>0.82</v>
      </c>
      <c r="AQ61" s="467">
        <f t="shared" si="21"/>
        <v>0.81499999999999995</v>
      </c>
      <c r="AR61" s="467">
        <f t="shared" si="21"/>
        <v>0.80999999999999994</v>
      </c>
      <c r="AS61" s="467">
        <f t="shared" si="21"/>
        <v>0.80499999999999994</v>
      </c>
      <c r="AT61" s="467">
        <f t="shared" si="21"/>
        <v>0.79999999999999993</v>
      </c>
      <c r="AU61" s="486"/>
      <c r="AV61" s="487"/>
      <c r="AW61" s="705"/>
    </row>
    <row r="62" spans="1:50" x14ac:dyDescent="0.2">
      <c r="A62" s="436"/>
      <c r="B62" s="950"/>
      <c r="C62" s="960"/>
      <c r="D62" s="485"/>
      <c r="E62" s="482" t="str">
        <f t="shared" si="1"/>
        <v>Reduced till</v>
      </c>
      <c r="F62" s="467">
        <v>0</v>
      </c>
      <c r="G62" s="467">
        <f>$AU62/20</f>
        <v>2.5000000000000001E-3</v>
      </c>
      <c r="H62" s="467">
        <f>($AU62/20)+G62</f>
        <v>5.0000000000000001E-3</v>
      </c>
      <c r="I62" s="467">
        <f t="shared" ref="I62:X63" si="22">($AU62/20)+H62</f>
        <v>7.4999999999999997E-3</v>
      </c>
      <c r="J62" s="467">
        <f t="shared" si="22"/>
        <v>0.01</v>
      </c>
      <c r="K62" s="467">
        <f t="shared" si="22"/>
        <v>1.2500000000000001E-2</v>
      </c>
      <c r="L62" s="467">
        <f t="shared" si="22"/>
        <v>1.5000000000000001E-2</v>
      </c>
      <c r="M62" s="467">
        <f t="shared" si="22"/>
        <v>1.7500000000000002E-2</v>
      </c>
      <c r="N62" s="467">
        <f t="shared" si="22"/>
        <v>0.02</v>
      </c>
      <c r="O62" s="467">
        <f t="shared" si="22"/>
        <v>2.2499999999999999E-2</v>
      </c>
      <c r="P62" s="467">
        <f t="shared" si="22"/>
        <v>2.4999999999999998E-2</v>
      </c>
      <c r="Q62" s="467">
        <f t="shared" si="22"/>
        <v>2.7499999999999997E-2</v>
      </c>
      <c r="R62" s="467">
        <f t="shared" si="22"/>
        <v>2.9999999999999995E-2</v>
      </c>
      <c r="S62" s="467">
        <f t="shared" si="22"/>
        <v>3.2499999999999994E-2</v>
      </c>
      <c r="T62" s="467">
        <f t="shared" si="22"/>
        <v>3.4999999999999996E-2</v>
      </c>
      <c r="U62" s="467">
        <f t="shared" si="22"/>
        <v>3.7499999999999999E-2</v>
      </c>
      <c r="V62" s="467">
        <f t="shared" si="22"/>
        <v>0.04</v>
      </c>
      <c r="W62" s="467">
        <f t="shared" si="22"/>
        <v>4.2500000000000003E-2</v>
      </c>
      <c r="X62" s="467">
        <f t="shared" si="22"/>
        <v>4.5000000000000005E-2</v>
      </c>
      <c r="Y62" s="467">
        <f t="shared" ref="Y62:Z63" si="23">($AU62/20)+X62</f>
        <v>4.7500000000000007E-2</v>
      </c>
      <c r="Z62" s="467">
        <f t="shared" si="23"/>
        <v>5.000000000000001E-2</v>
      </c>
      <c r="AA62" s="467">
        <f>(($AV62-$AU62)/20)+Z62</f>
        <v>5.2500000000000012E-2</v>
      </c>
      <c r="AB62" s="467">
        <f t="shared" ref="AB62:AQ63" si="24">(($AV62-$AU62)/20)+AA62</f>
        <v>5.5000000000000014E-2</v>
      </c>
      <c r="AC62" s="467">
        <f t="shared" si="24"/>
        <v>5.7500000000000016E-2</v>
      </c>
      <c r="AD62" s="467">
        <f t="shared" si="24"/>
        <v>6.0000000000000019E-2</v>
      </c>
      <c r="AE62" s="467">
        <f t="shared" si="24"/>
        <v>6.2500000000000014E-2</v>
      </c>
      <c r="AF62" s="467">
        <f t="shared" si="24"/>
        <v>6.5000000000000016E-2</v>
      </c>
      <c r="AG62" s="467">
        <f t="shared" si="24"/>
        <v>6.7500000000000018E-2</v>
      </c>
      <c r="AH62" s="467">
        <f t="shared" si="24"/>
        <v>7.0000000000000021E-2</v>
      </c>
      <c r="AI62" s="467">
        <f t="shared" si="24"/>
        <v>7.2500000000000023E-2</v>
      </c>
      <c r="AJ62" s="467">
        <f t="shared" si="24"/>
        <v>7.5000000000000025E-2</v>
      </c>
      <c r="AK62" s="467">
        <f t="shared" si="24"/>
        <v>7.7500000000000027E-2</v>
      </c>
      <c r="AL62" s="467">
        <f t="shared" si="24"/>
        <v>8.0000000000000029E-2</v>
      </c>
      <c r="AM62" s="467">
        <f t="shared" si="24"/>
        <v>8.2500000000000032E-2</v>
      </c>
      <c r="AN62" s="467">
        <f t="shared" si="24"/>
        <v>8.5000000000000034E-2</v>
      </c>
      <c r="AO62" s="467">
        <f t="shared" si="24"/>
        <v>8.7500000000000036E-2</v>
      </c>
      <c r="AP62" s="467">
        <f t="shared" si="24"/>
        <v>9.0000000000000038E-2</v>
      </c>
      <c r="AQ62" s="467">
        <f t="shared" si="24"/>
        <v>9.2500000000000041E-2</v>
      </c>
      <c r="AR62" s="467">
        <f t="shared" ref="AR62:AT63" si="25">(($AV62-$AU62)/20)+AQ62</f>
        <v>9.5000000000000043E-2</v>
      </c>
      <c r="AS62" s="467">
        <f t="shared" si="25"/>
        <v>9.7500000000000045E-2</v>
      </c>
      <c r="AT62" s="467">
        <f t="shared" si="25"/>
        <v>0.10000000000000005</v>
      </c>
      <c r="AU62" s="486">
        <v>0.05</v>
      </c>
      <c r="AV62" s="487">
        <v>0.1</v>
      </c>
      <c r="AW62" s="705"/>
    </row>
    <row r="63" spans="1:50" x14ac:dyDescent="0.2">
      <c r="A63" s="436"/>
      <c r="B63" s="950"/>
      <c r="C63" s="960"/>
      <c r="D63" s="485"/>
      <c r="E63" s="482" t="str">
        <f t="shared" si="1"/>
        <v>No-till</v>
      </c>
      <c r="F63" s="467">
        <v>0</v>
      </c>
      <c r="G63" s="467">
        <f>$AU63/20</f>
        <v>2.5000000000000001E-3</v>
      </c>
      <c r="H63" s="467">
        <f>($AU63/20)+G63</f>
        <v>5.0000000000000001E-3</v>
      </c>
      <c r="I63" s="467">
        <f t="shared" si="22"/>
        <v>7.4999999999999997E-3</v>
      </c>
      <c r="J63" s="467">
        <f t="shared" si="22"/>
        <v>0.01</v>
      </c>
      <c r="K63" s="467">
        <f t="shared" si="22"/>
        <v>1.2500000000000001E-2</v>
      </c>
      <c r="L63" s="467">
        <f t="shared" si="22"/>
        <v>1.5000000000000001E-2</v>
      </c>
      <c r="M63" s="467">
        <f t="shared" si="22"/>
        <v>1.7500000000000002E-2</v>
      </c>
      <c r="N63" s="467">
        <f t="shared" si="22"/>
        <v>0.02</v>
      </c>
      <c r="O63" s="467">
        <f t="shared" si="22"/>
        <v>2.2499999999999999E-2</v>
      </c>
      <c r="P63" s="467">
        <f t="shared" si="22"/>
        <v>2.4999999999999998E-2</v>
      </c>
      <c r="Q63" s="467">
        <f t="shared" si="22"/>
        <v>2.7499999999999997E-2</v>
      </c>
      <c r="R63" s="467">
        <f t="shared" si="22"/>
        <v>2.9999999999999995E-2</v>
      </c>
      <c r="S63" s="467">
        <f t="shared" si="22"/>
        <v>3.2499999999999994E-2</v>
      </c>
      <c r="T63" s="467">
        <f t="shared" si="22"/>
        <v>3.4999999999999996E-2</v>
      </c>
      <c r="U63" s="467">
        <f t="shared" si="22"/>
        <v>3.7499999999999999E-2</v>
      </c>
      <c r="V63" s="467">
        <f t="shared" si="22"/>
        <v>0.04</v>
      </c>
      <c r="W63" s="467">
        <f t="shared" si="22"/>
        <v>4.2500000000000003E-2</v>
      </c>
      <c r="X63" s="467">
        <f t="shared" si="22"/>
        <v>4.5000000000000005E-2</v>
      </c>
      <c r="Y63" s="467">
        <f t="shared" si="23"/>
        <v>4.7500000000000007E-2</v>
      </c>
      <c r="Z63" s="467">
        <f t="shared" si="23"/>
        <v>5.000000000000001E-2</v>
      </c>
      <c r="AA63" s="467">
        <f>(($AV63-$AU63)/20)+Z63</f>
        <v>5.2500000000000012E-2</v>
      </c>
      <c r="AB63" s="467">
        <f t="shared" si="24"/>
        <v>5.5000000000000014E-2</v>
      </c>
      <c r="AC63" s="467">
        <f t="shared" si="24"/>
        <v>5.7500000000000016E-2</v>
      </c>
      <c r="AD63" s="467">
        <f t="shared" si="24"/>
        <v>6.0000000000000019E-2</v>
      </c>
      <c r="AE63" s="467">
        <f t="shared" si="24"/>
        <v>6.2500000000000014E-2</v>
      </c>
      <c r="AF63" s="467">
        <f t="shared" si="24"/>
        <v>6.5000000000000016E-2</v>
      </c>
      <c r="AG63" s="467">
        <f t="shared" si="24"/>
        <v>6.7500000000000018E-2</v>
      </c>
      <c r="AH63" s="467">
        <f t="shared" si="24"/>
        <v>7.0000000000000021E-2</v>
      </c>
      <c r="AI63" s="467">
        <f t="shared" si="24"/>
        <v>7.2500000000000023E-2</v>
      </c>
      <c r="AJ63" s="467">
        <f t="shared" si="24"/>
        <v>7.5000000000000025E-2</v>
      </c>
      <c r="AK63" s="467">
        <f t="shared" si="24"/>
        <v>7.7500000000000027E-2</v>
      </c>
      <c r="AL63" s="467">
        <f t="shared" si="24"/>
        <v>8.0000000000000029E-2</v>
      </c>
      <c r="AM63" s="467">
        <f t="shared" si="24"/>
        <v>8.2500000000000032E-2</v>
      </c>
      <c r="AN63" s="467">
        <f t="shared" si="24"/>
        <v>8.5000000000000034E-2</v>
      </c>
      <c r="AO63" s="467">
        <f t="shared" si="24"/>
        <v>8.7500000000000036E-2</v>
      </c>
      <c r="AP63" s="467">
        <f t="shared" si="24"/>
        <v>9.0000000000000038E-2</v>
      </c>
      <c r="AQ63" s="467">
        <f t="shared" si="24"/>
        <v>9.2500000000000041E-2</v>
      </c>
      <c r="AR63" s="467">
        <f t="shared" si="25"/>
        <v>9.5000000000000043E-2</v>
      </c>
      <c r="AS63" s="467">
        <f t="shared" si="25"/>
        <v>9.7500000000000045E-2</v>
      </c>
      <c r="AT63" s="467">
        <f t="shared" si="25"/>
        <v>0.10000000000000005</v>
      </c>
      <c r="AU63" s="486">
        <v>0.05</v>
      </c>
      <c r="AV63" s="487">
        <v>0.1</v>
      </c>
      <c r="AW63" s="705"/>
    </row>
    <row r="64" spans="1:50" x14ac:dyDescent="0.2">
      <c r="A64" s="436"/>
      <c r="B64" s="950" t="str">
        <f>B36</f>
        <v>VOL</v>
      </c>
      <c r="C64" s="960" t="str">
        <f>C36</f>
        <v>cassava-beans</v>
      </c>
      <c r="D64" s="485">
        <v>1194.5999999999999</v>
      </c>
      <c r="E64" s="482" t="str">
        <f t="shared" si="1"/>
        <v>Full till</v>
      </c>
      <c r="F64" s="467">
        <v>1</v>
      </c>
      <c r="G64" s="467">
        <f>$F$52-SUM(G65:G66)</f>
        <v>0.995</v>
      </c>
      <c r="H64" s="467">
        <f t="shared" ref="H64:K64" si="26">$F$52-SUM(H65:H66)</f>
        <v>0.99</v>
      </c>
      <c r="I64" s="467">
        <f t="shared" si="26"/>
        <v>0.98499999999999999</v>
      </c>
      <c r="J64" s="467">
        <f t="shared" si="26"/>
        <v>0.98</v>
      </c>
      <c r="K64" s="467">
        <f t="shared" si="26"/>
        <v>0.97499999999999998</v>
      </c>
      <c r="L64" s="467">
        <f>$F$52-SUM(L65:L66)</f>
        <v>0.97</v>
      </c>
      <c r="M64" s="467">
        <f t="shared" ref="M64:AT64" si="27">$F$52-SUM(M65:M66)</f>
        <v>0.96499999999999997</v>
      </c>
      <c r="N64" s="467">
        <f t="shared" si="27"/>
        <v>0.96</v>
      </c>
      <c r="O64" s="467">
        <f t="shared" si="27"/>
        <v>0.95499999999999996</v>
      </c>
      <c r="P64" s="467">
        <f t="shared" si="27"/>
        <v>0.95</v>
      </c>
      <c r="Q64" s="467">
        <f t="shared" si="27"/>
        <v>0.94500000000000006</v>
      </c>
      <c r="R64" s="467">
        <f t="shared" si="27"/>
        <v>0.94000000000000006</v>
      </c>
      <c r="S64" s="467">
        <f t="shared" si="27"/>
        <v>0.93500000000000005</v>
      </c>
      <c r="T64" s="467">
        <f t="shared" si="27"/>
        <v>0.93</v>
      </c>
      <c r="U64" s="467">
        <f t="shared" si="27"/>
        <v>0.92500000000000004</v>
      </c>
      <c r="V64" s="467">
        <f t="shared" si="27"/>
        <v>0.92</v>
      </c>
      <c r="W64" s="467">
        <f t="shared" si="27"/>
        <v>0.91500000000000004</v>
      </c>
      <c r="X64" s="467">
        <f t="shared" si="27"/>
        <v>0.91</v>
      </c>
      <c r="Y64" s="467">
        <f t="shared" si="27"/>
        <v>0.90500000000000003</v>
      </c>
      <c r="Z64" s="467">
        <f t="shared" si="27"/>
        <v>0.9</v>
      </c>
      <c r="AA64" s="467">
        <f t="shared" si="27"/>
        <v>0.89500000000000002</v>
      </c>
      <c r="AB64" s="467">
        <f t="shared" si="27"/>
        <v>0.89</v>
      </c>
      <c r="AC64" s="467">
        <f t="shared" si="27"/>
        <v>0.88500000000000001</v>
      </c>
      <c r="AD64" s="467">
        <f t="shared" si="27"/>
        <v>0.88</v>
      </c>
      <c r="AE64" s="467">
        <f t="shared" si="27"/>
        <v>0.875</v>
      </c>
      <c r="AF64" s="467">
        <f t="shared" si="27"/>
        <v>0.87</v>
      </c>
      <c r="AG64" s="467">
        <f t="shared" si="27"/>
        <v>0.86499999999999999</v>
      </c>
      <c r="AH64" s="467">
        <f t="shared" si="27"/>
        <v>0.86</v>
      </c>
      <c r="AI64" s="467">
        <f t="shared" si="27"/>
        <v>0.85499999999999998</v>
      </c>
      <c r="AJ64" s="467">
        <f t="shared" si="27"/>
        <v>0.85</v>
      </c>
      <c r="AK64" s="467">
        <f t="shared" si="27"/>
        <v>0.84499999999999997</v>
      </c>
      <c r="AL64" s="467">
        <f t="shared" si="27"/>
        <v>0.84</v>
      </c>
      <c r="AM64" s="467">
        <f t="shared" si="27"/>
        <v>0.83499999999999996</v>
      </c>
      <c r="AN64" s="467">
        <f t="shared" si="27"/>
        <v>0.83</v>
      </c>
      <c r="AO64" s="467">
        <f t="shared" si="27"/>
        <v>0.82499999999999996</v>
      </c>
      <c r="AP64" s="467">
        <f t="shared" si="27"/>
        <v>0.82</v>
      </c>
      <c r="AQ64" s="467">
        <f t="shared" si="27"/>
        <v>0.81499999999999995</v>
      </c>
      <c r="AR64" s="467">
        <f t="shared" si="27"/>
        <v>0.80999999999999994</v>
      </c>
      <c r="AS64" s="467">
        <f t="shared" si="27"/>
        <v>0.80499999999999994</v>
      </c>
      <c r="AT64" s="467">
        <f t="shared" si="27"/>
        <v>0.79999999999999993</v>
      </c>
      <c r="AU64" s="486"/>
      <c r="AV64" s="487"/>
      <c r="AW64" s="705"/>
    </row>
    <row r="65" spans="1:50" x14ac:dyDescent="0.2">
      <c r="A65" s="436"/>
      <c r="B65" s="950"/>
      <c r="C65" s="960"/>
      <c r="D65" s="485"/>
      <c r="E65" s="482" t="str">
        <f t="shared" si="1"/>
        <v>Reduced till</v>
      </c>
      <c r="F65" s="467">
        <v>0</v>
      </c>
      <c r="G65" s="467">
        <f>$AU65/20</f>
        <v>2.5000000000000001E-3</v>
      </c>
      <c r="H65" s="467">
        <f>($AU65/20)+G65</f>
        <v>5.0000000000000001E-3</v>
      </c>
      <c r="I65" s="467">
        <f t="shared" ref="I65:X66" si="28">($AU65/20)+H65</f>
        <v>7.4999999999999997E-3</v>
      </c>
      <c r="J65" s="467">
        <f t="shared" si="28"/>
        <v>0.01</v>
      </c>
      <c r="K65" s="467">
        <f t="shared" si="28"/>
        <v>1.2500000000000001E-2</v>
      </c>
      <c r="L65" s="467">
        <f t="shared" si="28"/>
        <v>1.5000000000000001E-2</v>
      </c>
      <c r="M65" s="467">
        <f t="shared" si="28"/>
        <v>1.7500000000000002E-2</v>
      </c>
      <c r="N65" s="467">
        <f t="shared" si="28"/>
        <v>0.02</v>
      </c>
      <c r="O65" s="467">
        <f t="shared" si="28"/>
        <v>2.2499999999999999E-2</v>
      </c>
      <c r="P65" s="467">
        <f t="shared" si="28"/>
        <v>2.4999999999999998E-2</v>
      </c>
      <c r="Q65" s="467">
        <f t="shared" si="28"/>
        <v>2.7499999999999997E-2</v>
      </c>
      <c r="R65" s="467">
        <f t="shared" si="28"/>
        <v>2.9999999999999995E-2</v>
      </c>
      <c r="S65" s="467">
        <f t="shared" si="28"/>
        <v>3.2499999999999994E-2</v>
      </c>
      <c r="T65" s="467">
        <f t="shared" si="28"/>
        <v>3.4999999999999996E-2</v>
      </c>
      <c r="U65" s="467">
        <f t="shared" si="28"/>
        <v>3.7499999999999999E-2</v>
      </c>
      <c r="V65" s="467">
        <f t="shared" si="28"/>
        <v>0.04</v>
      </c>
      <c r="W65" s="467">
        <f t="shared" si="28"/>
        <v>4.2500000000000003E-2</v>
      </c>
      <c r="X65" s="467">
        <f t="shared" si="28"/>
        <v>4.5000000000000005E-2</v>
      </c>
      <c r="Y65" s="467">
        <f t="shared" ref="Y65:Z66" si="29">($AU65/20)+X65</f>
        <v>4.7500000000000007E-2</v>
      </c>
      <c r="Z65" s="467">
        <f t="shared" si="29"/>
        <v>5.000000000000001E-2</v>
      </c>
      <c r="AA65" s="467">
        <f>(($AV65-$AU65)/20)+Z65</f>
        <v>5.2500000000000012E-2</v>
      </c>
      <c r="AB65" s="467">
        <f t="shared" ref="AB65:AQ66" si="30">(($AV65-$AU65)/20)+AA65</f>
        <v>5.5000000000000014E-2</v>
      </c>
      <c r="AC65" s="467">
        <f t="shared" si="30"/>
        <v>5.7500000000000016E-2</v>
      </c>
      <c r="AD65" s="467">
        <f t="shared" si="30"/>
        <v>6.0000000000000019E-2</v>
      </c>
      <c r="AE65" s="467">
        <f t="shared" si="30"/>
        <v>6.2500000000000014E-2</v>
      </c>
      <c r="AF65" s="467">
        <f t="shared" si="30"/>
        <v>6.5000000000000016E-2</v>
      </c>
      <c r="AG65" s="467">
        <f t="shared" si="30"/>
        <v>6.7500000000000018E-2</v>
      </c>
      <c r="AH65" s="467">
        <f t="shared" si="30"/>
        <v>7.0000000000000021E-2</v>
      </c>
      <c r="AI65" s="467">
        <f t="shared" si="30"/>
        <v>7.2500000000000023E-2</v>
      </c>
      <c r="AJ65" s="467">
        <f t="shared" si="30"/>
        <v>7.5000000000000025E-2</v>
      </c>
      <c r="AK65" s="467">
        <f t="shared" si="30"/>
        <v>7.7500000000000027E-2</v>
      </c>
      <c r="AL65" s="467">
        <f t="shared" si="30"/>
        <v>8.0000000000000029E-2</v>
      </c>
      <c r="AM65" s="467">
        <f t="shared" si="30"/>
        <v>8.2500000000000032E-2</v>
      </c>
      <c r="AN65" s="467">
        <f t="shared" si="30"/>
        <v>8.5000000000000034E-2</v>
      </c>
      <c r="AO65" s="467">
        <f t="shared" si="30"/>
        <v>8.7500000000000036E-2</v>
      </c>
      <c r="AP65" s="467">
        <f t="shared" si="30"/>
        <v>9.0000000000000038E-2</v>
      </c>
      <c r="AQ65" s="467">
        <f t="shared" si="30"/>
        <v>9.2500000000000041E-2</v>
      </c>
      <c r="AR65" s="467">
        <f t="shared" ref="AR65:AT66" si="31">(($AV65-$AU65)/20)+AQ65</f>
        <v>9.5000000000000043E-2</v>
      </c>
      <c r="AS65" s="467">
        <f t="shared" si="31"/>
        <v>9.7500000000000045E-2</v>
      </c>
      <c r="AT65" s="467">
        <f t="shared" si="31"/>
        <v>0.10000000000000005</v>
      </c>
      <c r="AU65" s="486">
        <v>0.05</v>
      </c>
      <c r="AV65" s="487">
        <v>0.1</v>
      </c>
      <c r="AW65" s="705"/>
    </row>
    <row r="66" spans="1:50" x14ac:dyDescent="0.2">
      <c r="A66" s="436"/>
      <c r="B66" s="950"/>
      <c r="C66" s="960"/>
      <c r="D66" s="485"/>
      <c r="E66" s="482" t="str">
        <f t="shared" si="1"/>
        <v>No-till</v>
      </c>
      <c r="F66" s="467">
        <v>0</v>
      </c>
      <c r="G66" s="467">
        <f>$AU66/20</f>
        <v>2.5000000000000001E-3</v>
      </c>
      <c r="H66" s="467">
        <f>($AU66/20)+G66</f>
        <v>5.0000000000000001E-3</v>
      </c>
      <c r="I66" s="467">
        <f t="shared" si="28"/>
        <v>7.4999999999999997E-3</v>
      </c>
      <c r="J66" s="467">
        <f t="shared" si="28"/>
        <v>0.01</v>
      </c>
      <c r="K66" s="467">
        <f t="shared" si="28"/>
        <v>1.2500000000000001E-2</v>
      </c>
      <c r="L66" s="467">
        <f t="shared" si="28"/>
        <v>1.5000000000000001E-2</v>
      </c>
      <c r="M66" s="467">
        <f t="shared" si="28"/>
        <v>1.7500000000000002E-2</v>
      </c>
      <c r="N66" s="467">
        <f t="shared" si="28"/>
        <v>0.02</v>
      </c>
      <c r="O66" s="467">
        <f t="shared" si="28"/>
        <v>2.2499999999999999E-2</v>
      </c>
      <c r="P66" s="467">
        <f t="shared" si="28"/>
        <v>2.4999999999999998E-2</v>
      </c>
      <c r="Q66" s="467">
        <f t="shared" si="28"/>
        <v>2.7499999999999997E-2</v>
      </c>
      <c r="R66" s="467">
        <f t="shared" si="28"/>
        <v>2.9999999999999995E-2</v>
      </c>
      <c r="S66" s="467">
        <f t="shared" si="28"/>
        <v>3.2499999999999994E-2</v>
      </c>
      <c r="T66" s="467">
        <f t="shared" si="28"/>
        <v>3.4999999999999996E-2</v>
      </c>
      <c r="U66" s="467">
        <f t="shared" si="28"/>
        <v>3.7499999999999999E-2</v>
      </c>
      <c r="V66" s="467">
        <f t="shared" si="28"/>
        <v>0.04</v>
      </c>
      <c r="W66" s="467">
        <f t="shared" si="28"/>
        <v>4.2500000000000003E-2</v>
      </c>
      <c r="X66" s="467">
        <f t="shared" si="28"/>
        <v>4.5000000000000005E-2</v>
      </c>
      <c r="Y66" s="467">
        <f t="shared" si="29"/>
        <v>4.7500000000000007E-2</v>
      </c>
      <c r="Z66" s="467">
        <f t="shared" si="29"/>
        <v>5.000000000000001E-2</v>
      </c>
      <c r="AA66" s="467">
        <f>(($AV66-$AU66)/20)+Z66</f>
        <v>5.2500000000000012E-2</v>
      </c>
      <c r="AB66" s="467">
        <f t="shared" si="30"/>
        <v>5.5000000000000014E-2</v>
      </c>
      <c r="AC66" s="467">
        <f t="shared" si="30"/>
        <v>5.7500000000000016E-2</v>
      </c>
      <c r="AD66" s="467">
        <f t="shared" si="30"/>
        <v>6.0000000000000019E-2</v>
      </c>
      <c r="AE66" s="467">
        <f t="shared" si="30"/>
        <v>6.2500000000000014E-2</v>
      </c>
      <c r="AF66" s="467">
        <f t="shared" si="30"/>
        <v>6.5000000000000016E-2</v>
      </c>
      <c r="AG66" s="467">
        <f t="shared" si="30"/>
        <v>6.7500000000000018E-2</v>
      </c>
      <c r="AH66" s="467">
        <f t="shared" si="30"/>
        <v>7.0000000000000021E-2</v>
      </c>
      <c r="AI66" s="467">
        <f t="shared" si="30"/>
        <v>7.2500000000000023E-2</v>
      </c>
      <c r="AJ66" s="467">
        <f t="shared" si="30"/>
        <v>7.5000000000000025E-2</v>
      </c>
      <c r="AK66" s="467">
        <f t="shared" si="30"/>
        <v>7.7500000000000027E-2</v>
      </c>
      <c r="AL66" s="467">
        <f t="shared" si="30"/>
        <v>8.0000000000000029E-2</v>
      </c>
      <c r="AM66" s="467">
        <f t="shared" si="30"/>
        <v>8.2500000000000032E-2</v>
      </c>
      <c r="AN66" s="467">
        <f t="shared" si="30"/>
        <v>8.5000000000000034E-2</v>
      </c>
      <c r="AO66" s="467">
        <f t="shared" si="30"/>
        <v>8.7500000000000036E-2</v>
      </c>
      <c r="AP66" s="467">
        <f t="shared" si="30"/>
        <v>9.0000000000000038E-2</v>
      </c>
      <c r="AQ66" s="467">
        <f t="shared" si="30"/>
        <v>9.2500000000000041E-2</v>
      </c>
      <c r="AR66" s="467">
        <f t="shared" si="31"/>
        <v>9.5000000000000043E-2</v>
      </c>
      <c r="AS66" s="467">
        <f t="shared" si="31"/>
        <v>9.7500000000000045E-2</v>
      </c>
      <c r="AT66" s="467">
        <f t="shared" si="31"/>
        <v>0.10000000000000005</v>
      </c>
      <c r="AU66" s="486">
        <v>0.05</v>
      </c>
      <c r="AV66" s="487">
        <v>0.1</v>
      </c>
      <c r="AW66" s="705"/>
    </row>
    <row r="67" spans="1:50" x14ac:dyDescent="0.2">
      <c r="A67" s="436"/>
      <c r="B67" s="950" t="str">
        <f>B39</f>
        <v>LAC</v>
      </c>
      <c r="C67" s="960" t="str">
        <f>C39</f>
        <v>wheat</v>
      </c>
      <c r="D67" s="485">
        <v>2309</v>
      </c>
      <c r="E67" s="482" t="str">
        <f t="shared" si="1"/>
        <v>Full till</v>
      </c>
      <c r="F67" s="467">
        <v>1</v>
      </c>
      <c r="G67" s="467">
        <f>$F$52-SUM(G68:G69)</f>
        <v>0.995</v>
      </c>
      <c r="H67" s="467">
        <f t="shared" ref="H67:K67" si="32">$F$52-SUM(H68:H69)</f>
        <v>0.99</v>
      </c>
      <c r="I67" s="467">
        <f t="shared" si="32"/>
        <v>0.98499999999999999</v>
      </c>
      <c r="J67" s="467">
        <f t="shared" si="32"/>
        <v>0.98</v>
      </c>
      <c r="K67" s="467">
        <f t="shared" si="32"/>
        <v>0.97499999999999998</v>
      </c>
      <c r="L67" s="467">
        <f>$F$52-SUM(L68:L69)</f>
        <v>0.97</v>
      </c>
      <c r="M67" s="467">
        <f t="shared" ref="M67:AT67" si="33">$F$52-SUM(M68:M69)</f>
        <v>0.96499999999999997</v>
      </c>
      <c r="N67" s="467">
        <f t="shared" si="33"/>
        <v>0.96</v>
      </c>
      <c r="O67" s="467">
        <f t="shared" si="33"/>
        <v>0.95499999999999996</v>
      </c>
      <c r="P67" s="467">
        <f t="shared" si="33"/>
        <v>0.95</v>
      </c>
      <c r="Q67" s="467">
        <f t="shared" si="33"/>
        <v>0.94500000000000006</v>
      </c>
      <c r="R67" s="467">
        <f t="shared" si="33"/>
        <v>0.94000000000000006</v>
      </c>
      <c r="S67" s="467">
        <f t="shared" si="33"/>
        <v>0.93500000000000005</v>
      </c>
      <c r="T67" s="467">
        <f t="shared" si="33"/>
        <v>0.93</v>
      </c>
      <c r="U67" s="467">
        <f t="shared" si="33"/>
        <v>0.92500000000000004</v>
      </c>
      <c r="V67" s="467">
        <f t="shared" si="33"/>
        <v>0.92</v>
      </c>
      <c r="W67" s="467">
        <f t="shared" si="33"/>
        <v>0.91500000000000004</v>
      </c>
      <c r="X67" s="467">
        <f t="shared" si="33"/>
        <v>0.91</v>
      </c>
      <c r="Y67" s="467">
        <f t="shared" si="33"/>
        <v>0.90500000000000003</v>
      </c>
      <c r="Z67" s="467">
        <f t="shared" si="33"/>
        <v>0.9</v>
      </c>
      <c r="AA67" s="467">
        <f t="shared" si="33"/>
        <v>0.89500000000000002</v>
      </c>
      <c r="AB67" s="467">
        <f t="shared" si="33"/>
        <v>0.89</v>
      </c>
      <c r="AC67" s="467">
        <f t="shared" si="33"/>
        <v>0.88500000000000001</v>
      </c>
      <c r="AD67" s="467">
        <f t="shared" si="33"/>
        <v>0.88</v>
      </c>
      <c r="AE67" s="467">
        <f t="shared" si="33"/>
        <v>0.875</v>
      </c>
      <c r="AF67" s="467">
        <f t="shared" si="33"/>
        <v>0.87</v>
      </c>
      <c r="AG67" s="467">
        <f t="shared" si="33"/>
        <v>0.86499999999999999</v>
      </c>
      <c r="AH67" s="467">
        <f t="shared" si="33"/>
        <v>0.86</v>
      </c>
      <c r="AI67" s="467">
        <f t="shared" si="33"/>
        <v>0.85499999999999998</v>
      </c>
      <c r="AJ67" s="467">
        <f t="shared" si="33"/>
        <v>0.85</v>
      </c>
      <c r="AK67" s="467">
        <f t="shared" si="33"/>
        <v>0.84499999999999997</v>
      </c>
      <c r="AL67" s="467">
        <f t="shared" si="33"/>
        <v>0.84</v>
      </c>
      <c r="AM67" s="467">
        <f t="shared" si="33"/>
        <v>0.83499999999999996</v>
      </c>
      <c r="AN67" s="467">
        <f t="shared" si="33"/>
        <v>0.83</v>
      </c>
      <c r="AO67" s="467">
        <f t="shared" si="33"/>
        <v>0.82499999999999996</v>
      </c>
      <c r="AP67" s="467">
        <f t="shared" si="33"/>
        <v>0.82</v>
      </c>
      <c r="AQ67" s="467">
        <f t="shared" si="33"/>
        <v>0.81499999999999995</v>
      </c>
      <c r="AR67" s="467">
        <f t="shared" si="33"/>
        <v>0.80999999999999994</v>
      </c>
      <c r="AS67" s="467">
        <f t="shared" si="33"/>
        <v>0.80499999999999994</v>
      </c>
      <c r="AT67" s="467">
        <f t="shared" si="33"/>
        <v>0.79999999999999993</v>
      </c>
      <c r="AU67" s="486"/>
      <c r="AV67" s="487"/>
      <c r="AW67" s="705"/>
    </row>
    <row r="68" spans="1:50" x14ac:dyDescent="0.2">
      <c r="A68" s="436"/>
      <c r="B68" s="950"/>
      <c r="C68" s="960"/>
      <c r="D68" s="485"/>
      <c r="E68" s="482" t="str">
        <f t="shared" si="1"/>
        <v>Reduced till</v>
      </c>
      <c r="F68" s="467">
        <v>0</v>
      </c>
      <c r="G68" s="467">
        <f>$AU68/20</f>
        <v>2.5000000000000001E-3</v>
      </c>
      <c r="H68" s="467">
        <f>($AU68/20)+G68</f>
        <v>5.0000000000000001E-3</v>
      </c>
      <c r="I68" s="467">
        <f t="shared" ref="I68:X69" si="34">($AU68/20)+H68</f>
        <v>7.4999999999999997E-3</v>
      </c>
      <c r="J68" s="467">
        <f t="shared" si="34"/>
        <v>0.01</v>
      </c>
      <c r="K68" s="467">
        <f t="shared" si="34"/>
        <v>1.2500000000000001E-2</v>
      </c>
      <c r="L68" s="467">
        <f t="shared" si="34"/>
        <v>1.5000000000000001E-2</v>
      </c>
      <c r="M68" s="467">
        <f t="shared" si="34"/>
        <v>1.7500000000000002E-2</v>
      </c>
      <c r="N68" s="467">
        <f t="shared" si="34"/>
        <v>0.02</v>
      </c>
      <c r="O68" s="467">
        <f t="shared" si="34"/>
        <v>2.2499999999999999E-2</v>
      </c>
      <c r="P68" s="467">
        <f t="shared" si="34"/>
        <v>2.4999999999999998E-2</v>
      </c>
      <c r="Q68" s="467">
        <f t="shared" si="34"/>
        <v>2.7499999999999997E-2</v>
      </c>
      <c r="R68" s="467">
        <f t="shared" si="34"/>
        <v>2.9999999999999995E-2</v>
      </c>
      <c r="S68" s="467">
        <f t="shared" si="34"/>
        <v>3.2499999999999994E-2</v>
      </c>
      <c r="T68" s="467">
        <f t="shared" si="34"/>
        <v>3.4999999999999996E-2</v>
      </c>
      <c r="U68" s="467">
        <f t="shared" si="34"/>
        <v>3.7499999999999999E-2</v>
      </c>
      <c r="V68" s="467">
        <f t="shared" si="34"/>
        <v>0.04</v>
      </c>
      <c r="W68" s="467">
        <f t="shared" si="34"/>
        <v>4.2500000000000003E-2</v>
      </c>
      <c r="X68" s="467">
        <f t="shared" si="34"/>
        <v>4.5000000000000005E-2</v>
      </c>
      <c r="Y68" s="467">
        <f t="shared" ref="Y68:Z69" si="35">($AU68/20)+X68</f>
        <v>4.7500000000000007E-2</v>
      </c>
      <c r="Z68" s="467">
        <f t="shared" si="35"/>
        <v>5.000000000000001E-2</v>
      </c>
      <c r="AA68" s="467">
        <f>(($AV68-$AU68)/20)+Z68</f>
        <v>5.2500000000000012E-2</v>
      </c>
      <c r="AB68" s="467">
        <f t="shared" ref="AB68:AQ69" si="36">(($AV68-$AU68)/20)+AA68</f>
        <v>5.5000000000000014E-2</v>
      </c>
      <c r="AC68" s="467">
        <f t="shared" si="36"/>
        <v>5.7500000000000016E-2</v>
      </c>
      <c r="AD68" s="467">
        <f t="shared" si="36"/>
        <v>6.0000000000000019E-2</v>
      </c>
      <c r="AE68" s="467">
        <f t="shared" si="36"/>
        <v>6.2500000000000014E-2</v>
      </c>
      <c r="AF68" s="467">
        <f t="shared" si="36"/>
        <v>6.5000000000000016E-2</v>
      </c>
      <c r="AG68" s="467">
        <f t="shared" si="36"/>
        <v>6.7500000000000018E-2</v>
      </c>
      <c r="AH68" s="467">
        <f t="shared" si="36"/>
        <v>7.0000000000000021E-2</v>
      </c>
      <c r="AI68" s="467">
        <f t="shared" si="36"/>
        <v>7.2500000000000023E-2</v>
      </c>
      <c r="AJ68" s="467">
        <f t="shared" si="36"/>
        <v>7.5000000000000025E-2</v>
      </c>
      <c r="AK68" s="467">
        <f t="shared" si="36"/>
        <v>7.7500000000000027E-2</v>
      </c>
      <c r="AL68" s="467">
        <f t="shared" si="36"/>
        <v>8.0000000000000029E-2</v>
      </c>
      <c r="AM68" s="467">
        <f t="shared" si="36"/>
        <v>8.2500000000000032E-2</v>
      </c>
      <c r="AN68" s="467">
        <f t="shared" si="36"/>
        <v>8.5000000000000034E-2</v>
      </c>
      <c r="AO68" s="467">
        <f t="shared" si="36"/>
        <v>8.7500000000000036E-2</v>
      </c>
      <c r="AP68" s="467">
        <f t="shared" si="36"/>
        <v>9.0000000000000038E-2</v>
      </c>
      <c r="AQ68" s="467">
        <f t="shared" si="36"/>
        <v>9.2500000000000041E-2</v>
      </c>
      <c r="AR68" s="467">
        <f t="shared" ref="AR68:AT69" si="37">(($AV68-$AU68)/20)+AQ68</f>
        <v>9.5000000000000043E-2</v>
      </c>
      <c r="AS68" s="467">
        <f t="shared" si="37"/>
        <v>9.7500000000000045E-2</v>
      </c>
      <c r="AT68" s="467">
        <f t="shared" si="37"/>
        <v>0.10000000000000005</v>
      </c>
      <c r="AU68" s="486">
        <v>0.05</v>
      </c>
      <c r="AV68" s="487">
        <v>0.1</v>
      </c>
      <c r="AW68" s="705"/>
    </row>
    <row r="69" spans="1:50" ht="17" thickBot="1" x14ac:dyDescent="0.25">
      <c r="A69" s="436"/>
      <c r="B69" s="952"/>
      <c r="C69" s="961"/>
      <c r="D69" s="708"/>
      <c r="E69" s="709" t="str">
        <f t="shared" si="1"/>
        <v>No-till</v>
      </c>
      <c r="F69" s="710">
        <v>0</v>
      </c>
      <c r="G69" s="710">
        <f>$AU69/20</f>
        <v>2.5000000000000001E-3</v>
      </c>
      <c r="H69" s="710">
        <f>($AU69/20)+G69</f>
        <v>5.0000000000000001E-3</v>
      </c>
      <c r="I69" s="710">
        <f t="shared" si="34"/>
        <v>7.4999999999999997E-3</v>
      </c>
      <c r="J69" s="710">
        <f t="shared" si="34"/>
        <v>0.01</v>
      </c>
      <c r="K69" s="710">
        <f t="shared" si="34"/>
        <v>1.2500000000000001E-2</v>
      </c>
      <c r="L69" s="710">
        <f t="shared" si="34"/>
        <v>1.5000000000000001E-2</v>
      </c>
      <c r="M69" s="710">
        <f t="shared" si="34"/>
        <v>1.7500000000000002E-2</v>
      </c>
      <c r="N69" s="710">
        <f t="shared" si="34"/>
        <v>0.02</v>
      </c>
      <c r="O69" s="710">
        <f t="shared" si="34"/>
        <v>2.2499999999999999E-2</v>
      </c>
      <c r="P69" s="710">
        <f t="shared" si="34"/>
        <v>2.4999999999999998E-2</v>
      </c>
      <c r="Q69" s="710">
        <f t="shared" si="34"/>
        <v>2.7499999999999997E-2</v>
      </c>
      <c r="R69" s="710">
        <f t="shared" si="34"/>
        <v>2.9999999999999995E-2</v>
      </c>
      <c r="S69" s="710">
        <f t="shared" si="34"/>
        <v>3.2499999999999994E-2</v>
      </c>
      <c r="T69" s="710">
        <f t="shared" si="34"/>
        <v>3.4999999999999996E-2</v>
      </c>
      <c r="U69" s="710">
        <f t="shared" si="34"/>
        <v>3.7499999999999999E-2</v>
      </c>
      <c r="V69" s="710">
        <f t="shared" si="34"/>
        <v>0.04</v>
      </c>
      <c r="W69" s="710">
        <f t="shared" si="34"/>
        <v>4.2500000000000003E-2</v>
      </c>
      <c r="X69" s="710">
        <f t="shared" si="34"/>
        <v>4.5000000000000005E-2</v>
      </c>
      <c r="Y69" s="710">
        <f t="shared" si="35"/>
        <v>4.7500000000000007E-2</v>
      </c>
      <c r="Z69" s="710">
        <f t="shared" si="35"/>
        <v>5.000000000000001E-2</v>
      </c>
      <c r="AA69" s="710">
        <f>(($AV69-$AU69)/20)+Z69</f>
        <v>5.2500000000000012E-2</v>
      </c>
      <c r="AB69" s="710">
        <f t="shared" si="36"/>
        <v>5.5000000000000014E-2</v>
      </c>
      <c r="AC69" s="710">
        <f t="shared" si="36"/>
        <v>5.7500000000000016E-2</v>
      </c>
      <c r="AD69" s="710">
        <f t="shared" si="36"/>
        <v>6.0000000000000019E-2</v>
      </c>
      <c r="AE69" s="710">
        <f t="shared" si="36"/>
        <v>6.2500000000000014E-2</v>
      </c>
      <c r="AF69" s="710">
        <f t="shared" si="36"/>
        <v>6.5000000000000016E-2</v>
      </c>
      <c r="AG69" s="710">
        <f t="shared" si="36"/>
        <v>6.7500000000000018E-2</v>
      </c>
      <c r="AH69" s="710">
        <f t="shared" si="36"/>
        <v>7.0000000000000021E-2</v>
      </c>
      <c r="AI69" s="710">
        <f t="shared" si="36"/>
        <v>7.2500000000000023E-2</v>
      </c>
      <c r="AJ69" s="710">
        <f t="shared" si="36"/>
        <v>7.5000000000000025E-2</v>
      </c>
      <c r="AK69" s="710">
        <f t="shared" si="36"/>
        <v>7.7500000000000027E-2</v>
      </c>
      <c r="AL69" s="710">
        <f t="shared" si="36"/>
        <v>8.0000000000000029E-2</v>
      </c>
      <c r="AM69" s="710">
        <f t="shared" si="36"/>
        <v>8.2500000000000032E-2</v>
      </c>
      <c r="AN69" s="710">
        <f t="shared" si="36"/>
        <v>8.5000000000000034E-2</v>
      </c>
      <c r="AO69" s="710">
        <f t="shared" si="36"/>
        <v>8.7500000000000036E-2</v>
      </c>
      <c r="AP69" s="710">
        <f t="shared" si="36"/>
        <v>9.0000000000000038E-2</v>
      </c>
      <c r="AQ69" s="710">
        <f t="shared" si="36"/>
        <v>9.2500000000000041E-2</v>
      </c>
      <c r="AR69" s="710">
        <f t="shared" si="37"/>
        <v>9.5000000000000043E-2</v>
      </c>
      <c r="AS69" s="710">
        <f t="shared" si="37"/>
        <v>9.7500000000000045E-2</v>
      </c>
      <c r="AT69" s="710">
        <f t="shared" si="37"/>
        <v>0.10000000000000005</v>
      </c>
      <c r="AU69" s="711">
        <v>0.05</v>
      </c>
      <c r="AV69" s="712">
        <v>0.1</v>
      </c>
      <c r="AW69" s="713"/>
    </row>
    <row r="70" spans="1:50" ht="17" thickBot="1" x14ac:dyDescent="0.25">
      <c r="A70" s="436"/>
      <c r="C70" s="699"/>
      <c r="D70" s="699"/>
      <c r="E70" s="700"/>
    </row>
    <row r="71" spans="1:50" x14ac:dyDescent="0.2">
      <c r="A71" s="779"/>
      <c r="B71" s="780" t="s">
        <v>419</v>
      </c>
      <c r="C71" s="780"/>
      <c r="D71" s="780"/>
      <c r="E71" s="780"/>
      <c r="F71" s="780"/>
      <c r="G71" s="780"/>
      <c r="H71" s="780"/>
      <c r="I71" s="780"/>
      <c r="J71" s="780"/>
      <c r="K71" s="780"/>
      <c r="L71" s="780"/>
      <c r="M71" s="780"/>
      <c r="N71" s="780"/>
      <c r="O71" s="780"/>
      <c r="P71" s="780"/>
      <c r="Q71" s="780"/>
      <c r="R71" s="780"/>
      <c r="S71" s="780"/>
      <c r="T71" s="780"/>
      <c r="U71" s="780"/>
      <c r="V71" s="780"/>
      <c r="W71" s="780"/>
      <c r="X71" s="780"/>
      <c r="Y71" s="780"/>
      <c r="Z71" s="780"/>
      <c r="AA71" s="780"/>
      <c r="AB71" s="780"/>
      <c r="AC71" s="780"/>
      <c r="AD71" s="780"/>
      <c r="AE71" s="780"/>
      <c r="AF71" s="780"/>
      <c r="AG71" s="780"/>
      <c r="AH71" s="780"/>
      <c r="AI71" s="780"/>
      <c r="AJ71" s="780"/>
      <c r="AK71" s="780"/>
      <c r="AL71" s="780"/>
      <c r="AM71" s="780"/>
      <c r="AN71" s="780"/>
      <c r="AO71" s="780"/>
      <c r="AP71" s="780"/>
      <c r="AQ71" s="780"/>
      <c r="AR71" s="780"/>
      <c r="AS71" s="780"/>
      <c r="AT71" s="780"/>
      <c r="AU71" s="701"/>
      <c r="AV71" s="701"/>
      <c r="AW71" s="702"/>
    </row>
    <row r="72" spans="1:50" ht="18" x14ac:dyDescent="0.2">
      <c r="A72" s="779"/>
      <c r="B72" s="508"/>
      <c r="E72" s="747"/>
      <c r="F72" s="475" t="s">
        <v>383</v>
      </c>
      <c r="G72" s="475" t="s">
        <v>384</v>
      </c>
      <c r="H72" s="475" t="s">
        <v>385</v>
      </c>
      <c r="I72" s="475" t="s">
        <v>386</v>
      </c>
      <c r="J72" s="475" t="s">
        <v>387</v>
      </c>
      <c r="K72" s="475" t="s">
        <v>388</v>
      </c>
      <c r="L72" s="475" t="s">
        <v>389</v>
      </c>
      <c r="M72" s="475" t="s">
        <v>390</v>
      </c>
      <c r="N72" s="475" t="s">
        <v>391</v>
      </c>
      <c r="O72" s="475" t="s">
        <v>392</v>
      </c>
      <c r="P72" s="475" t="s">
        <v>393</v>
      </c>
      <c r="Q72" s="475" t="s">
        <v>394</v>
      </c>
      <c r="R72" s="475" t="s">
        <v>395</v>
      </c>
      <c r="S72" s="475" t="s">
        <v>396</v>
      </c>
      <c r="T72" s="475" t="s">
        <v>397</v>
      </c>
      <c r="U72" s="475" t="s">
        <v>398</v>
      </c>
      <c r="V72" s="475" t="s">
        <v>399</v>
      </c>
      <c r="W72" s="475" t="s">
        <v>400</v>
      </c>
      <c r="X72" s="475" t="s">
        <v>401</v>
      </c>
      <c r="Y72" s="475" t="s">
        <v>402</v>
      </c>
      <c r="Z72" s="475" t="s">
        <v>120</v>
      </c>
      <c r="AA72" s="475" t="s">
        <v>146</v>
      </c>
      <c r="AB72" s="475" t="s">
        <v>147</v>
      </c>
      <c r="AC72" s="475" t="s">
        <v>148</v>
      </c>
      <c r="AD72" s="475" t="s">
        <v>149</v>
      </c>
      <c r="AE72" s="475" t="s">
        <v>150</v>
      </c>
      <c r="AF72" s="475" t="s">
        <v>151</v>
      </c>
      <c r="AG72" s="475" t="s">
        <v>152</v>
      </c>
      <c r="AH72" s="475" t="s">
        <v>153</v>
      </c>
      <c r="AI72" s="475" t="s">
        <v>154</v>
      </c>
      <c r="AJ72" s="475" t="s">
        <v>121</v>
      </c>
      <c r="AK72" s="475" t="s">
        <v>403</v>
      </c>
      <c r="AL72" s="475" t="s">
        <v>404</v>
      </c>
      <c r="AM72" s="475" t="s">
        <v>405</v>
      </c>
      <c r="AN72" s="475" t="s">
        <v>406</v>
      </c>
      <c r="AO72" s="475" t="s">
        <v>407</v>
      </c>
      <c r="AP72" s="475" t="s">
        <v>408</v>
      </c>
      <c r="AQ72" s="475" t="s">
        <v>409</v>
      </c>
      <c r="AR72" s="475" t="s">
        <v>410</v>
      </c>
      <c r="AS72" s="475" t="s">
        <v>411</v>
      </c>
      <c r="AT72" s="475" t="s">
        <v>412</v>
      </c>
      <c r="AU72" s="475"/>
      <c r="AV72" s="475"/>
      <c r="AW72" s="714" t="s">
        <v>155</v>
      </c>
    </row>
    <row r="73" spans="1:50" x14ac:dyDescent="0.2">
      <c r="A73" s="779"/>
      <c r="B73" s="704" t="str">
        <f>B51</f>
        <v>Soil</v>
      </c>
      <c r="C73" s="477" t="s">
        <v>370</v>
      </c>
      <c r="D73" s="477" t="s">
        <v>414</v>
      </c>
      <c r="E73" s="775" t="s">
        <v>415</v>
      </c>
      <c r="F73" s="477">
        <v>2000</v>
      </c>
      <c r="G73" s="477">
        <v>2001</v>
      </c>
      <c r="H73" s="477">
        <v>2002</v>
      </c>
      <c r="I73" s="477">
        <v>2003</v>
      </c>
      <c r="J73" s="477">
        <v>2004</v>
      </c>
      <c r="K73" s="477">
        <v>2005</v>
      </c>
      <c r="L73" s="477">
        <v>2006</v>
      </c>
      <c r="M73" s="477">
        <v>2007</v>
      </c>
      <c r="N73" s="477">
        <v>2008</v>
      </c>
      <c r="O73" s="477">
        <v>2009</v>
      </c>
      <c r="P73" s="477">
        <v>2010</v>
      </c>
      <c r="Q73" s="477">
        <v>2011</v>
      </c>
      <c r="R73" s="477">
        <v>2012</v>
      </c>
      <c r="S73" s="477">
        <v>2013</v>
      </c>
      <c r="T73" s="477">
        <v>2014</v>
      </c>
      <c r="U73" s="477">
        <v>2015</v>
      </c>
      <c r="V73" s="477">
        <v>2016</v>
      </c>
      <c r="W73" s="477">
        <v>2017</v>
      </c>
      <c r="X73" s="477">
        <v>2018</v>
      </c>
      <c r="Y73" s="477">
        <v>2019</v>
      </c>
      <c r="Z73" s="477">
        <v>2020</v>
      </c>
      <c r="AA73" s="477">
        <v>2021</v>
      </c>
      <c r="AB73" s="477">
        <v>2022</v>
      </c>
      <c r="AC73" s="477">
        <v>2023</v>
      </c>
      <c r="AD73" s="477">
        <v>2024</v>
      </c>
      <c r="AE73" s="477">
        <v>2025</v>
      </c>
      <c r="AF73" s="477">
        <v>2026</v>
      </c>
      <c r="AG73" s="477">
        <v>2027</v>
      </c>
      <c r="AH73" s="477">
        <v>2028</v>
      </c>
      <c r="AI73" s="477">
        <v>2029</v>
      </c>
      <c r="AJ73" s="477">
        <v>2030</v>
      </c>
      <c r="AK73" s="477">
        <v>2031</v>
      </c>
      <c r="AL73" s="477">
        <v>2032</v>
      </c>
      <c r="AM73" s="477">
        <v>2033</v>
      </c>
      <c r="AN73" s="477">
        <v>2034</v>
      </c>
      <c r="AO73" s="477">
        <v>2035</v>
      </c>
      <c r="AP73" s="477">
        <v>2036</v>
      </c>
      <c r="AQ73" s="477">
        <v>2037</v>
      </c>
      <c r="AR73" s="477">
        <v>2038</v>
      </c>
      <c r="AS73" s="477">
        <v>2039</v>
      </c>
      <c r="AT73" s="477">
        <v>2040</v>
      </c>
      <c r="AU73" s="477"/>
      <c r="AV73" s="477"/>
      <c r="AW73" s="715"/>
    </row>
    <row r="74" spans="1:50" x14ac:dyDescent="0.2">
      <c r="A74" s="436"/>
      <c r="B74" s="962" t="str">
        <f>B52</f>
        <v>HAC</v>
      </c>
      <c r="C74" s="951" t="str">
        <f>C52</f>
        <v>corn-soy-alfalfa-alfalfa</v>
      </c>
      <c r="D74" s="467">
        <f>D52</f>
        <v>23738.289999999997</v>
      </c>
      <c r="E74" s="474" t="str">
        <f>E52</f>
        <v>Full till</v>
      </c>
      <c r="F74" s="488">
        <f t="shared" ref="F74:AT74" si="38">_xlfn.XLOOKUP($AX74,$AX$24:$AX$41,$I$24:$I$41,"ERROR")*(F52*$D$52)</f>
        <v>435692.57465999993</v>
      </c>
      <c r="G74" s="488">
        <f t="shared" si="38"/>
        <v>433514.11178669997</v>
      </c>
      <c r="H74" s="488">
        <f t="shared" si="38"/>
        <v>431335.6489133999</v>
      </c>
      <c r="I74" s="488">
        <f t="shared" si="38"/>
        <v>429157.18604009994</v>
      </c>
      <c r="J74" s="488">
        <f t="shared" si="38"/>
        <v>426978.72316679993</v>
      </c>
      <c r="K74" s="488">
        <f t="shared" si="38"/>
        <v>424800.26029349992</v>
      </c>
      <c r="L74" s="488">
        <f t="shared" si="38"/>
        <v>422621.7974201999</v>
      </c>
      <c r="M74" s="488">
        <f t="shared" si="38"/>
        <v>420443.33454689995</v>
      </c>
      <c r="N74" s="488">
        <f t="shared" si="38"/>
        <v>418264.87167359988</v>
      </c>
      <c r="O74" s="488">
        <f t="shared" si="38"/>
        <v>416086.40880029992</v>
      </c>
      <c r="P74" s="488">
        <f t="shared" si="38"/>
        <v>413907.94592699991</v>
      </c>
      <c r="Q74" s="488">
        <f t="shared" si="38"/>
        <v>411729.48305369995</v>
      </c>
      <c r="R74" s="488">
        <f t="shared" si="38"/>
        <v>409551.02018039994</v>
      </c>
      <c r="S74" s="488">
        <f t="shared" si="38"/>
        <v>407372.55730709998</v>
      </c>
      <c r="T74" s="488">
        <f t="shared" si="38"/>
        <v>405194.09443379991</v>
      </c>
      <c r="U74" s="488">
        <f t="shared" si="38"/>
        <v>403015.63156049995</v>
      </c>
      <c r="V74" s="488">
        <f t="shared" si="38"/>
        <v>400837.16868719994</v>
      </c>
      <c r="W74" s="488">
        <f t="shared" si="38"/>
        <v>398658.70581389993</v>
      </c>
      <c r="X74" s="488">
        <f t="shared" si="38"/>
        <v>396480.24294059997</v>
      </c>
      <c r="Y74" s="488">
        <f t="shared" si="38"/>
        <v>394301.78006729996</v>
      </c>
      <c r="Z74" s="488">
        <f t="shared" si="38"/>
        <v>392123.31719399994</v>
      </c>
      <c r="AA74" s="488">
        <f t="shared" si="38"/>
        <v>389944.85432069993</v>
      </c>
      <c r="AB74" s="488">
        <f t="shared" si="38"/>
        <v>387766.39144739998</v>
      </c>
      <c r="AC74" s="488">
        <f t="shared" si="38"/>
        <v>385587.9285740999</v>
      </c>
      <c r="AD74" s="488">
        <f t="shared" si="38"/>
        <v>383409.46570079995</v>
      </c>
      <c r="AE74" s="488">
        <f t="shared" si="38"/>
        <v>381231.00282749993</v>
      </c>
      <c r="AF74" s="488">
        <f t="shared" si="38"/>
        <v>379052.53995419992</v>
      </c>
      <c r="AG74" s="488">
        <f t="shared" si="38"/>
        <v>376874.07708089991</v>
      </c>
      <c r="AH74" s="488">
        <f t="shared" si="38"/>
        <v>374695.61420759995</v>
      </c>
      <c r="AI74" s="488">
        <f t="shared" si="38"/>
        <v>372517.15133429994</v>
      </c>
      <c r="AJ74" s="488">
        <f t="shared" si="38"/>
        <v>370338.68846099993</v>
      </c>
      <c r="AK74" s="488">
        <f t="shared" si="38"/>
        <v>368160.22558769997</v>
      </c>
      <c r="AL74" s="488">
        <f t="shared" si="38"/>
        <v>365981.7627143999</v>
      </c>
      <c r="AM74" s="488">
        <f t="shared" si="38"/>
        <v>363803.29984109994</v>
      </c>
      <c r="AN74" s="488">
        <f t="shared" si="38"/>
        <v>361624.83696779993</v>
      </c>
      <c r="AO74" s="488">
        <f t="shared" si="38"/>
        <v>359446.37409449992</v>
      </c>
      <c r="AP74" s="488">
        <f t="shared" si="38"/>
        <v>357267.9112211999</v>
      </c>
      <c r="AQ74" s="488">
        <f t="shared" si="38"/>
        <v>355089.44834789995</v>
      </c>
      <c r="AR74" s="488">
        <f t="shared" si="38"/>
        <v>352910.98547459987</v>
      </c>
      <c r="AS74" s="488">
        <f t="shared" si="38"/>
        <v>350732.52260129992</v>
      </c>
      <c r="AT74" s="488">
        <f t="shared" si="38"/>
        <v>348554.05972799996</v>
      </c>
      <c r="AU74" s="488"/>
      <c r="AV74" s="488"/>
      <c r="AW74" s="716"/>
      <c r="AX74" s="509" t="str">
        <f>B74&amp;"-"&amp;C74&amp;"-"&amp;E74</f>
        <v>HAC-corn-soy-alfalfa-alfalfa-Full till</v>
      </c>
    </row>
    <row r="75" spans="1:50" x14ac:dyDescent="0.2">
      <c r="A75" s="436"/>
      <c r="B75" s="962"/>
      <c r="C75" s="951"/>
      <c r="D75" s="467"/>
      <c r="E75" s="474" t="str">
        <f t="shared" ref="E75:E91" si="39">E53</f>
        <v>Reduced till</v>
      </c>
      <c r="F75" s="488">
        <f t="shared" ref="F75:AT75" si="40">_xlfn.XLOOKUP($AX75,$AX$24:$AX$41,$I$24:$I$41,"ERROR")*(F53*$D$52)</f>
        <v>0</v>
      </c>
      <c r="G75" s="488">
        <f t="shared" si="40"/>
        <v>1180.4975654471998</v>
      </c>
      <c r="H75" s="488">
        <f t="shared" si="40"/>
        <v>2360.9951308943996</v>
      </c>
      <c r="I75" s="488">
        <f t="shared" si="40"/>
        <v>3541.4926963415992</v>
      </c>
      <c r="J75" s="488">
        <f t="shared" si="40"/>
        <v>4721.9902617887992</v>
      </c>
      <c r="K75" s="488">
        <f t="shared" si="40"/>
        <v>5902.4878272359992</v>
      </c>
      <c r="L75" s="488">
        <f t="shared" si="40"/>
        <v>7082.9853926831993</v>
      </c>
      <c r="M75" s="488">
        <f t="shared" si="40"/>
        <v>8263.4829581304002</v>
      </c>
      <c r="N75" s="488">
        <f t="shared" si="40"/>
        <v>9443.9805235775984</v>
      </c>
      <c r="O75" s="488">
        <f t="shared" si="40"/>
        <v>10624.478089024798</v>
      </c>
      <c r="P75" s="488">
        <f t="shared" si="40"/>
        <v>11804.975654471998</v>
      </c>
      <c r="Q75" s="488">
        <f t="shared" si="40"/>
        <v>12985.473219919197</v>
      </c>
      <c r="R75" s="488">
        <f t="shared" si="40"/>
        <v>14165.970785366397</v>
      </c>
      <c r="S75" s="488">
        <f t="shared" si="40"/>
        <v>15346.468350813595</v>
      </c>
      <c r="T75" s="488">
        <f t="shared" si="40"/>
        <v>16526.965916260793</v>
      </c>
      <c r="U75" s="488">
        <f t="shared" si="40"/>
        <v>17707.463481707997</v>
      </c>
      <c r="V75" s="488">
        <f t="shared" si="40"/>
        <v>18887.961047155197</v>
      </c>
      <c r="W75" s="488">
        <f t="shared" si="40"/>
        <v>20068.458612602397</v>
      </c>
      <c r="X75" s="488">
        <f t="shared" si="40"/>
        <v>21248.956178049601</v>
      </c>
      <c r="Y75" s="488">
        <f t="shared" si="40"/>
        <v>22429.453743496797</v>
      </c>
      <c r="Z75" s="488">
        <f t="shared" si="40"/>
        <v>23609.951308944001</v>
      </c>
      <c r="AA75" s="488">
        <f t="shared" si="40"/>
        <v>24790.448874391204</v>
      </c>
      <c r="AB75" s="488">
        <f t="shared" si="40"/>
        <v>25970.946439838401</v>
      </c>
      <c r="AC75" s="488">
        <f t="shared" si="40"/>
        <v>27151.444005285604</v>
      </c>
      <c r="AD75" s="488">
        <f t="shared" si="40"/>
        <v>28331.941570732808</v>
      </c>
      <c r="AE75" s="488">
        <f t="shared" si="40"/>
        <v>29512.439136180001</v>
      </c>
      <c r="AF75" s="488">
        <f t="shared" si="40"/>
        <v>30692.936701627201</v>
      </c>
      <c r="AG75" s="488">
        <f t="shared" si="40"/>
        <v>31873.434267074404</v>
      </c>
      <c r="AH75" s="488">
        <f t="shared" si="40"/>
        <v>33053.931832521601</v>
      </c>
      <c r="AI75" s="488">
        <f t="shared" si="40"/>
        <v>34234.429397968808</v>
      </c>
      <c r="AJ75" s="488">
        <f t="shared" si="40"/>
        <v>35414.926963416008</v>
      </c>
      <c r="AK75" s="488">
        <f t="shared" si="40"/>
        <v>36595.424528863208</v>
      </c>
      <c r="AL75" s="488">
        <f t="shared" si="40"/>
        <v>37775.922094310408</v>
      </c>
      <c r="AM75" s="488">
        <f t="shared" si="40"/>
        <v>38956.419659757608</v>
      </c>
      <c r="AN75" s="488">
        <f t="shared" si="40"/>
        <v>40136.917225204808</v>
      </c>
      <c r="AO75" s="488">
        <f t="shared" si="40"/>
        <v>41317.414790652008</v>
      </c>
      <c r="AP75" s="488">
        <f t="shared" si="40"/>
        <v>42497.912356099208</v>
      </c>
      <c r="AQ75" s="488">
        <f t="shared" si="40"/>
        <v>43678.409921546416</v>
      </c>
      <c r="AR75" s="488">
        <f t="shared" si="40"/>
        <v>44858.907486993616</v>
      </c>
      <c r="AS75" s="488">
        <f t="shared" si="40"/>
        <v>46039.405052440816</v>
      </c>
      <c r="AT75" s="488">
        <f t="shared" si="40"/>
        <v>47219.902617888009</v>
      </c>
      <c r="AU75" s="488"/>
      <c r="AV75" s="488"/>
      <c r="AW75" s="715"/>
      <c r="AX75" s="509" t="str">
        <f>B74&amp;"-"&amp;C74&amp;"-"&amp;E75</f>
        <v>HAC-corn-soy-alfalfa-alfalfa-Reduced till</v>
      </c>
    </row>
    <row r="76" spans="1:50" x14ac:dyDescent="0.2">
      <c r="A76" s="436"/>
      <c r="B76" s="962"/>
      <c r="C76" s="951"/>
      <c r="D76" s="467"/>
      <c r="E76" s="474" t="str">
        <f t="shared" si="39"/>
        <v>No-till</v>
      </c>
      <c r="F76" s="488">
        <f t="shared" ref="F76:AT76" si="41">_xlfn.XLOOKUP($AX76,$AX$24:$AX$41,$I$24:$I$41,"ERROR")*(F54*$D$52)</f>
        <v>0</v>
      </c>
      <c r="G76" s="488">
        <f t="shared" si="41"/>
        <v>1240.1186546111999</v>
      </c>
      <c r="H76" s="488">
        <f t="shared" si="41"/>
        <v>2480.2373092223997</v>
      </c>
      <c r="I76" s="488">
        <f t="shared" si="41"/>
        <v>3720.3559638335996</v>
      </c>
      <c r="J76" s="488">
        <f t="shared" si="41"/>
        <v>4960.4746184447995</v>
      </c>
      <c r="K76" s="488">
        <f t="shared" si="41"/>
        <v>6200.5932730559998</v>
      </c>
      <c r="L76" s="488">
        <f t="shared" si="41"/>
        <v>7440.7119276672001</v>
      </c>
      <c r="M76" s="488">
        <f t="shared" si="41"/>
        <v>8680.8305822784005</v>
      </c>
      <c r="N76" s="488">
        <f t="shared" si="41"/>
        <v>9920.949236889599</v>
      </c>
      <c r="O76" s="488">
        <f t="shared" si="41"/>
        <v>11161.067891500799</v>
      </c>
      <c r="P76" s="488">
        <f t="shared" si="41"/>
        <v>12401.186546112</v>
      </c>
      <c r="Q76" s="488">
        <f t="shared" si="41"/>
        <v>13641.305200723198</v>
      </c>
      <c r="R76" s="488">
        <f t="shared" si="41"/>
        <v>14881.423855334398</v>
      </c>
      <c r="S76" s="488">
        <f t="shared" si="41"/>
        <v>16121.542509945595</v>
      </c>
      <c r="T76" s="488">
        <f t="shared" si="41"/>
        <v>17361.661164556797</v>
      </c>
      <c r="U76" s="488">
        <f t="shared" si="41"/>
        <v>18601.779819167998</v>
      </c>
      <c r="V76" s="488">
        <f t="shared" si="41"/>
        <v>19841.898473779198</v>
      </c>
      <c r="W76" s="488">
        <f t="shared" si="41"/>
        <v>21082.017128390398</v>
      </c>
      <c r="X76" s="488">
        <f t="shared" si="41"/>
        <v>22322.135783001602</v>
      </c>
      <c r="Y76" s="488">
        <f t="shared" si="41"/>
        <v>23562.254437612799</v>
      </c>
      <c r="Z76" s="488">
        <f t="shared" si="41"/>
        <v>24802.373092224003</v>
      </c>
      <c r="AA76" s="488">
        <f t="shared" si="41"/>
        <v>26042.491746835207</v>
      </c>
      <c r="AB76" s="488">
        <f t="shared" si="41"/>
        <v>27282.610401446404</v>
      </c>
      <c r="AC76" s="488">
        <f t="shared" si="41"/>
        <v>28522.729056057608</v>
      </c>
      <c r="AD76" s="488">
        <f t="shared" si="41"/>
        <v>29762.847710668811</v>
      </c>
      <c r="AE76" s="488">
        <f t="shared" si="41"/>
        <v>31002.966365280005</v>
      </c>
      <c r="AF76" s="488">
        <f t="shared" si="41"/>
        <v>32243.085019891205</v>
      </c>
      <c r="AG76" s="488">
        <f t="shared" si="41"/>
        <v>33483.203674502409</v>
      </c>
      <c r="AH76" s="488">
        <f t="shared" si="41"/>
        <v>34723.322329113609</v>
      </c>
      <c r="AI76" s="488">
        <f t="shared" si="41"/>
        <v>35963.440983724809</v>
      </c>
      <c r="AJ76" s="488">
        <f t="shared" si="41"/>
        <v>37203.55963833601</v>
      </c>
      <c r="AK76" s="488">
        <f t="shared" si="41"/>
        <v>38443.67829294721</v>
      </c>
      <c r="AL76" s="488">
        <f t="shared" si="41"/>
        <v>39683.79694755841</v>
      </c>
      <c r="AM76" s="488">
        <f t="shared" si="41"/>
        <v>40923.915602169618</v>
      </c>
      <c r="AN76" s="488">
        <f t="shared" si="41"/>
        <v>42164.034256780811</v>
      </c>
      <c r="AO76" s="488">
        <f t="shared" si="41"/>
        <v>43404.152911392011</v>
      </c>
      <c r="AP76" s="488">
        <f t="shared" si="41"/>
        <v>44644.271566003212</v>
      </c>
      <c r="AQ76" s="488">
        <f t="shared" si="41"/>
        <v>45884.390220614419</v>
      </c>
      <c r="AR76" s="488">
        <f t="shared" si="41"/>
        <v>47124.50887522562</v>
      </c>
      <c r="AS76" s="488">
        <f t="shared" si="41"/>
        <v>48364.62752983682</v>
      </c>
      <c r="AT76" s="488">
        <f t="shared" si="41"/>
        <v>49604.746184448013</v>
      </c>
      <c r="AU76" s="488"/>
      <c r="AV76" s="488"/>
      <c r="AW76" s="715"/>
      <c r="AX76" s="509" t="str">
        <f>B74&amp;"-"&amp;C74&amp;"-"&amp;E76</f>
        <v>HAC-corn-soy-alfalfa-alfalfa-No-till</v>
      </c>
    </row>
    <row r="77" spans="1:50" x14ac:dyDescent="0.2">
      <c r="A77" s="436"/>
      <c r="B77" s="962" t="str">
        <f t="shared" ref="B77:C77" si="42">B55</f>
        <v>HAC</v>
      </c>
      <c r="C77" s="951" t="str">
        <f t="shared" si="42"/>
        <v>wheat</v>
      </c>
      <c r="D77" s="467">
        <f>D55</f>
        <v>18182.52</v>
      </c>
      <c r="E77" s="474" t="str">
        <f t="shared" si="39"/>
        <v>Full till</v>
      </c>
      <c r="F77" s="488">
        <f t="shared" ref="F77:AT77" si="43">_xlfn.XLOOKUP($AX77,$AX$24:$AX$41,$I$24:$I$41,"ERROR")*(F55*$D$55)</f>
        <v>333721.97207999998</v>
      </c>
      <c r="G77" s="488">
        <f t="shared" si="43"/>
        <v>332053.36221960001</v>
      </c>
      <c r="H77" s="488">
        <f t="shared" si="43"/>
        <v>330384.75235919998</v>
      </c>
      <c r="I77" s="488">
        <f t="shared" si="43"/>
        <v>328716.14249880001</v>
      </c>
      <c r="J77" s="488">
        <f t="shared" si="43"/>
        <v>327047.53263840004</v>
      </c>
      <c r="K77" s="488">
        <f t="shared" si="43"/>
        <v>325378.92277799995</v>
      </c>
      <c r="L77" s="488">
        <f t="shared" si="43"/>
        <v>323710.31291759998</v>
      </c>
      <c r="M77" s="488">
        <f t="shared" si="43"/>
        <v>322041.70305719995</v>
      </c>
      <c r="N77" s="488">
        <f t="shared" si="43"/>
        <v>320373.09319679998</v>
      </c>
      <c r="O77" s="488">
        <f t="shared" si="43"/>
        <v>318704.48333640001</v>
      </c>
      <c r="P77" s="488">
        <f t="shared" si="43"/>
        <v>317035.87347599998</v>
      </c>
      <c r="Q77" s="488">
        <f t="shared" si="43"/>
        <v>315367.26361560001</v>
      </c>
      <c r="R77" s="488">
        <f t="shared" si="43"/>
        <v>313698.65375519998</v>
      </c>
      <c r="S77" s="488">
        <f t="shared" si="43"/>
        <v>312030.04389480001</v>
      </c>
      <c r="T77" s="488">
        <f t="shared" si="43"/>
        <v>310361.43403440004</v>
      </c>
      <c r="U77" s="488">
        <f t="shared" si="43"/>
        <v>308692.82417400001</v>
      </c>
      <c r="V77" s="488">
        <f t="shared" si="43"/>
        <v>307024.21431360004</v>
      </c>
      <c r="W77" s="488">
        <f t="shared" si="43"/>
        <v>305355.60445320001</v>
      </c>
      <c r="X77" s="488">
        <f t="shared" si="43"/>
        <v>303686.99459279998</v>
      </c>
      <c r="Y77" s="488">
        <f t="shared" si="43"/>
        <v>302018.38473240001</v>
      </c>
      <c r="Z77" s="488">
        <f t="shared" si="43"/>
        <v>300349.77487199998</v>
      </c>
      <c r="AA77" s="488">
        <f t="shared" si="43"/>
        <v>298681.16501160001</v>
      </c>
      <c r="AB77" s="488">
        <f t="shared" si="43"/>
        <v>297012.55515119998</v>
      </c>
      <c r="AC77" s="488">
        <f t="shared" si="43"/>
        <v>295343.94529080001</v>
      </c>
      <c r="AD77" s="488">
        <f t="shared" si="43"/>
        <v>293675.33543039998</v>
      </c>
      <c r="AE77" s="488">
        <f t="shared" si="43"/>
        <v>292006.72557000001</v>
      </c>
      <c r="AF77" s="488">
        <f t="shared" si="43"/>
        <v>290338.11570959998</v>
      </c>
      <c r="AG77" s="488">
        <f t="shared" si="43"/>
        <v>288669.50584920001</v>
      </c>
      <c r="AH77" s="488">
        <f t="shared" si="43"/>
        <v>287000.89598879998</v>
      </c>
      <c r="AI77" s="488">
        <f t="shared" si="43"/>
        <v>285332.28612839995</v>
      </c>
      <c r="AJ77" s="488">
        <f t="shared" si="43"/>
        <v>283663.67626799998</v>
      </c>
      <c r="AK77" s="488">
        <f t="shared" si="43"/>
        <v>281995.06640760001</v>
      </c>
      <c r="AL77" s="488">
        <f t="shared" si="43"/>
        <v>280326.45654719998</v>
      </c>
      <c r="AM77" s="488">
        <f t="shared" si="43"/>
        <v>278657.84668679995</v>
      </c>
      <c r="AN77" s="488">
        <f t="shared" si="43"/>
        <v>276989.23682639998</v>
      </c>
      <c r="AO77" s="488">
        <f t="shared" si="43"/>
        <v>275320.62696600001</v>
      </c>
      <c r="AP77" s="488">
        <f t="shared" si="43"/>
        <v>273652.01710559998</v>
      </c>
      <c r="AQ77" s="488">
        <f t="shared" si="43"/>
        <v>271983.40724519995</v>
      </c>
      <c r="AR77" s="488">
        <f t="shared" si="43"/>
        <v>270314.79738479998</v>
      </c>
      <c r="AS77" s="488">
        <f t="shared" si="43"/>
        <v>268646.18752439995</v>
      </c>
      <c r="AT77" s="488">
        <f t="shared" si="43"/>
        <v>266977.57766399998</v>
      </c>
      <c r="AU77" s="488"/>
      <c r="AV77" s="488"/>
      <c r="AW77" s="715"/>
      <c r="AX77" s="509" t="str">
        <f>B77&amp;"-"&amp;C77&amp;"-"&amp;E77</f>
        <v>HAC-wheat-Full till</v>
      </c>
    </row>
    <row r="78" spans="1:50" x14ac:dyDescent="0.2">
      <c r="A78" s="436"/>
      <c r="B78" s="962"/>
      <c r="C78" s="951"/>
      <c r="D78" s="467"/>
      <c r="E78" s="474" t="str">
        <f t="shared" si="39"/>
        <v>Reduced till</v>
      </c>
      <c r="F78" s="488">
        <f t="shared" ref="F78:AT78" si="44">_xlfn.XLOOKUP($AX78,$AX$24:$AX$41,$I$24:$I$41,"ERROR")*(F56*$D$55)</f>
        <v>0</v>
      </c>
      <c r="G78" s="488">
        <f t="shared" si="44"/>
        <v>904.21090119359997</v>
      </c>
      <c r="H78" s="488">
        <f t="shared" si="44"/>
        <v>1808.4218023871999</v>
      </c>
      <c r="I78" s="488">
        <f t="shared" si="44"/>
        <v>2712.6327035807999</v>
      </c>
      <c r="J78" s="488">
        <f t="shared" si="44"/>
        <v>3616.8436047743999</v>
      </c>
      <c r="K78" s="488">
        <f t="shared" si="44"/>
        <v>4521.0545059680007</v>
      </c>
      <c r="L78" s="488">
        <f t="shared" si="44"/>
        <v>5425.2654071616007</v>
      </c>
      <c r="M78" s="488">
        <f t="shared" si="44"/>
        <v>6329.4763083552007</v>
      </c>
      <c r="N78" s="488">
        <f t="shared" si="44"/>
        <v>7233.6872095487997</v>
      </c>
      <c r="O78" s="488">
        <f t="shared" si="44"/>
        <v>8137.8981107423997</v>
      </c>
      <c r="P78" s="488">
        <f t="shared" si="44"/>
        <v>9042.1090119359997</v>
      </c>
      <c r="Q78" s="488">
        <f t="shared" si="44"/>
        <v>9946.3199131295987</v>
      </c>
      <c r="R78" s="488">
        <f t="shared" si="44"/>
        <v>10850.5308143232</v>
      </c>
      <c r="S78" s="488">
        <f t="shared" si="44"/>
        <v>11754.741715516799</v>
      </c>
      <c r="T78" s="488">
        <f t="shared" si="44"/>
        <v>12658.9526167104</v>
      </c>
      <c r="U78" s="488">
        <f t="shared" si="44"/>
        <v>13563.163517904</v>
      </c>
      <c r="V78" s="488">
        <f t="shared" si="44"/>
        <v>14467.374419097599</v>
      </c>
      <c r="W78" s="488">
        <f t="shared" si="44"/>
        <v>15371.5853202912</v>
      </c>
      <c r="X78" s="488">
        <f t="shared" si="44"/>
        <v>16275.796221484801</v>
      </c>
      <c r="Y78" s="488">
        <f t="shared" si="44"/>
        <v>17180.007122678402</v>
      </c>
      <c r="Z78" s="488">
        <f t="shared" si="44"/>
        <v>18084.218023872003</v>
      </c>
      <c r="AA78" s="488">
        <f t="shared" si="44"/>
        <v>18988.428925065604</v>
      </c>
      <c r="AB78" s="488">
        <f t="shared" si="44"/>
        <v>19892.639826259205</v>
      </c>
      <c r="AC78" s="488">
        <f t="shared" si="44"/>
        <v>20796.850727452806</v>
      </c>
      <c r="AD78" s="488">
        <f t="shared" si="44"/>
        <v>21701.061628646406</v>
      </c>
      <c r="AE78" s="488">
        <f t="shared" si="44"/>
        <v>22605.272529840004</v>
      </c>
      <c r="AF78" s="488">
        <f t="shared" si="44"/>
        <v>23509.483431033605</v>
      </c>
      <c r="AG78" s="488">
        <f t="shared" si="44"/>
        <v>24413.694332227205</v>
      </c>
      <c r="AH78" s="488">
        <f t="shared" si="44"/>
        <v>25317.905233420806</v>
      </c>
      <c r="AI78" s="488">
        <f t="shared" si="44"/>
        <v>26222.116134614407</v>
      </c>
      <c r="AJ78" s="488">
        <f t="shared" si="44"/>
        <v>27126.327035808008</v>
      </c>
      <c r="AK78" s="488">
        <f t="shared" si="44"/>
        <v>28030.537937001609</v>
      </c>
      <c r="AL78" s="488">
        <f t="shared" si="44"/>
        <v>28934.748838195213</v>
      </c>
      <c r="AM78" s="488">
        <f t="shared" si="44"/>
        <v>29838.959739388814</v>
      </c>
      <c r="AN78" s="488">
        <f t="shared" si="44"/>
        <v>30743.170640582415</v>
      </c>
      <c r="AO78" s="488">
        <f t="shared" si="44"/>
        <v>31647.381541776009</v>
      </c>
      <c r="AP78" s="488">
        <f t="shared" si="44"/>
        <v>32551.592442969613</v>
      </c>
      <c r="AQ78" s="488">
        <f t="shared" si="44"/>
        <v>33455.803344163214</v>
      </c>
      <c r="AR78" s="488">
        <f t="shared" si="44"/>
        <v>34360.014245356811</v>
      </c>
      <c r="AS78" s="488">
        <f t="shared" si="44"/>
        <v>35264.225146550416</v>
      </c>
      <c r="AT78" s="488">
        <f t="shared" si="44"/>
        <v>36168.436047744013</v>
      </c>
      <c r="AU78" s="488"/>
      <c r="AV78" s="488"/>
      <c r="AW78" s="715"/>
      <c r="AX78" s="509" t="str">
        <f>B77&amp;"-"&amp;C77&amp;"-"&amp;E78</f>
        <v>HAC-wheat-Reduced till</v>
      </c>
    </row>
    <row r="79" spans="1:50" x14ac:dyDescent="0.2">
      <c r="A79" s="436"/>
      <c r="B79" s="962"/>
      <c r="C79" s="951"/>
      <c r="D79" s="467"/>
      <c r="E79" s="474" t="str">
        <f t="shared" si="39"/>
        <v>No-till</v>
      </c>
      <c r="F79" s="488">
        <f t="shared" ref="F79:AT79" si="45">_xlfn.XLOOKUP($AX79,$AX$24:$AX$41,$I$24:$I$41,"ERROR")*(F57*$D$55)</f>
        <v>0</v>
      </c>
      <c r="G79" s="488">
        <f t="shared" si="45"/>
        <v>949.87811842560006</v>
      </c>
      <c r="H79" s="488">
        <f t="shared" si="45"/>
        <v>1899.7562368512001</v>
      </c>
      <c r="I79" s="488">
        <f t="shared" si="45"/>
        <v>2849.6343552768003</v>
      </c>
      <c r="J79" s="488">
        <f t="shared" si="45"/>
        <v>3799.5124737024003</v>
      </c>
      <c r="K79" s="488">
        <f t="shared" si="45"/>
        <v>4749.3905921280011</v>
      </c>
      <c r="L79" s="488">
        <f t="shared" si="45"/>
        <v>5699.2687105536015</v>
      </c>
      <c r="M79" s="488">
        <f t="shared" si="45"/>
        <v>6649.146828979201</v>
      </c>
      <c r="N79" s="488">
        <f t="shared" si="45"/>
        <v>7599.0249474048005</v>
      </c>
      <c r="O79" s="488">
        <f t="shared" si="45"/>
        <v>8548.9030658304</v>
      </c>
      <c r="P79" s="488">
        <f t="shared" si="45"/>
        <v>9498.7811842560004</v>
      </c>
      <c r="Q79" s="488">
        <f t="shared" si="45"/>
        <v>10448.659302681599</v>
      </c>
      <c r="R79" s="488">
        <f t="shared" si="45"/>
        <v>11398.537421107201</v>
      </c>
      <c r="S79" s="488">
        <f t="shared" si="45"/>
        <v>12348.4155395328</v>
      </c>
      <c r="T79" s="488">
        <f t="shared" si="45"/>
        <v>13298.2936579584</v>
      </c>
      <c r="U79" s="488">
        <f t="shared" si="45"/>
        <v>14248.171776384002</v>
      </c>
      <c r="V79" s="488">
        <f t="shared" si="45"/>
        <v>15198.049894809601</v>
      </c>
      <c r="W79" s="488">
        <f t="shared" si="45"/>
        <v>16147.928013235201</v>
      </c>
      <c r="X79" s="488">
        <f t="shared" si="45"/>
        <v>17097.806131660804</v>
      </c>
      <c r="Y79" s="488">
        <f t="shared" si="45"/>
        <v>18047.684250086404</v>
      </c>
      <c r="Z79" s="488">
        <f t="shared" si="45"/>
        <v>18997.562368512004</v>
      </c>
      <c r="AA79" s="488">
        <f t="shared" si="45"/>
        <v>19947.440486937605</v>
      </c>
      <c r="AB79" s="488">
        <f t="shared" si="45"/>
        <v>20897.318605363209</v>
      </c>
      <c r="AC79" s="488">
        <f t="shared" si="45"/>
        <v>21847.196723788809</v>
      </c>
      <c r="AD79" s="488">
        <f t="shared" si="45"/>
        <v>22797.07484221441</v>
      </c>
      <c r="AE79" s="488">
        <f t="shared" si="45"/>
        <v>23746.952960640006</v>
      </c>
      <c r="AF79" s="488">
        <f t="shared" si="45"/>
        <v>24696.831079065607</v>
      </c>
      <c r="AG79" s="488">
        <f t="shared" si="45"/>
        <v>25646.709197491211</v>
      </c>
      <c r="AH79" s="488">
        <f t="shared" si="45"/>
        <v>26596.587315916811</v>
      </c>
      <c r="AI79" s="488">
        <f t="shared" si="45"/>
        <v>27546.465434342412</v>
      </c>
      <c r="AJ79" s="488">
        <f t="shared" si="45"/>
        <v>28496.343552768012</v>
      </c>
      <c r="AK79" s="488">
        <f t="shared" si="45"/>
        <v>29446.221671193613</v>
      </c>
      <c r="AL79" s="488">
        <f t="shared" si="45"/>
        <v>30396.099789619217</v>
      </c>
      <c r="AM79" s="488">
        <f t="shared" si="45"/>
        <v>31345.977908044817</v>
      </c>
      <c r="AN79" s="488">
        <f t="shared" si="45"/>
        <v>32295.856026470417</v>
      </c>
      <c r="AO79" s="488">
        <f t="shared" si="45"/>
        <v>33245.734144896014</v>
      </c>
      <c r="AP79" s="488">
        <f t="shared" si="45"/>
        <v>34195.612263321615</v>
      </c>
      <c r="AQ79" s="488">
        <f t="shared" si="45"/>
        <v>35145.490381747215</v>
      </c>
      <c r="AR79" s="488">
        <f t="shared" si="45"/>
        <v>36095.368500172815</v>
      </c>
      <c r="AS79" s="488">
        <f t="shared" si="45"/>
        <v>37045.246618598416</v>
      </c>
      <c r="AT79" s="488">
        <f t="shared" si="45"/>
        <v>37995.124737024023</v>
      </c>
      <c r="AU79" s="488"/>
      <c r="AV79" s="488"/>
      <c r="AW79" s="715"/>
      <c r="AX79" s="509" t="str">
        <f>B77&amp;"-"&amp;C77&amp;"-"&amp;E79</f>
        <v>HAC-wheat-No-till</v>
      </c>
    </row>
    <row r="80" spans="1:50" x14ac:dyDescent="0.2">
      <c r="A80" s="436"/>
      <c r="B80" s="962" t="str">
        <f t="shared" ref="B80:C80" si="46">B58</f>
        <v>HAC</v>
      </c>
      <c r="C80" s="951" t="str">
        <f t="shared" si="46"/>
        <v>cassava-beans</v>
      </c>
      <c r="D80" s="467">
        <f>D58</f>
        <v>8586.19</v>
      </c>
      <c r="E80" s="474" t="str">
        <f t="shared" si="39"/>
        <v>Full till</v>
      </c>
      <c r="F80" s="488">
        <f t="shared" ref="F80:AT80" si="47">_xlfn.XLOOKUP($AX80,$AX$24:$AX$41,$I$24:$I$41,"ERROR")*(F58*$D$58)</f>
        <v>157590.93126000001</v>
      </c>
      <c r="G80" s="488">
        <f t="shared" si="47"/>
        <v>156802.97660369999</v>
      </c>
      <c r="H80" s="488">
        <f t="shared" si="47"/>
        <v>156015.0219474</v>
      </c>
      <c r="I80" s="488">
        <f t="shared" si="47"/>
        <v>155227.06729110001</v>
      </c>
      <c r="J80" s="488">
        <f t="shared" si="47"/>
        <v>154439.1126348</v>
      </c>
      <c r="K80" s="488">
        <f t="shared" si="47"/>
        <v>153651.15797850001</v>
      </c>
      <c r="L80" s="488">
        <f t="shared" si="47"/>
        <v>152863.20332220002</v>
      </c>
      <c r="M80" s="488">
        <f t="shared" si="47"/>
        <v>152075.2486659</v>
      </c>
      <c r="N80" s="488">
        <f t="shared" si="47"/>
        <v>151287.29400960001</v>
      </c>
      <c r="O80" s="488">
        <f t="shared" si="47"/>
        <v>150499.33935329999</v>
      </c>
      <c r="P80" s="488">
        <f t="shared" si="47"/>
        <v>149711.384697</v>
      </c>
      <c r="Q80" s="488">
        <f t="shared" si="47"/>
        <v>148923.43004070001</v>
      </c>
      <c r="R80" s="488">
        <f t="shared" si="47"/>
        <v>148135.47538440002</v>
      </c>
      <c r="S80" s="488">
        <f t="shared" si="47"/>
        <v>147347.5207281</v>
      </c>
      <c r="T80" s="488">
        <f t="shared" si="47"/>
        <v>146559.56607180001</v>
      </c>
      <c r="U80" s="488">
        <f t="shared" si="47"/>
        <v>145771.6114155</v>
      </c>
      <c r="V80" s="488">
        <f t="shared" si="47"/>
        <v>144983.65675920001</v>
      </c>
      <c r="W80" s="488">
        <f t="shared" si="47"/>
        <v>144195.70210290002</v>
      </c>
      <c r="X80" s="488">
        <f t="shared" si="47"/>
        <v>143407.7474466</v>
      </c>
      <c r="Y80" s="488">
        <f t="shared" si="47"/>
        <v>142619.79279030001</v>
      </c>
      <c r="Z80" s="488">
        <f t="shared" si="47"/>
        <v>141831.83813400002</v>
      </c>
      <c r="AA80" s="488">
        <f t="shared" si="47"/>
        <v>141043.8834777</v>
      </c>
      <c r="AB80" s="488">
        <f t="shared" si="47"/>
        <v>140255.92882140001</v>
      </c>
      <c r="AC80" s="488">
        <f t="shared" si="47"/>
        <v>139467.97416509999</v>
      </c>
      <c r="AD80" s="488">
        <f t="shared" si="47"/>
        <v>138680.0195088</v>
      </c>
      <c r="AE80" s="488">
        <f t="shared" si="47"/>
        <v>137892.06485249999</v>
      </c>
      <c r="AF80" s="488">
        <f t="shared" si="47"/>
        <v>137104.1101962</v>
      </c>
      <c r="AG80" s="488">
        <f t="shared" si="47"/>
        <v>136316.15553990001</v>
      </c>
      <c r="AH80" s="488">
        <f t="shared" si="47"/>
        <v>135528.20088359999</v>
      </c>
      <c r="AI80" s="488">
        <f t="shared" si="47"/>
        <v>134740.2462273</v>
      </c>
      <c r="AJ80" s="488">
        <f t="shared" si="47"/>
        <v>133952.29157100001</v>
      </c>
      <c r="AK80" s="488">
        <f t="shared" si="47"/>
        <v>133164.33691470002</v>
      </c>
      <c r="AL80" s="488">
        <f t="shared" si="47"/>
        <v>132376.3822584</v>
      </c>
      <c r="AM80" s="488">
        <f t="shared" si="47"/>
        <v>131588.42760209998</v>
      </c>
      <c r="AN80" s="488">
        <f t="shared" si="47"/>
        <v>130800.47294579999</v>
      </c>
      <c r="AO80" s="488">
        <f t="shared" si="47"/>
        <v>130012.51828949999</v>
      </c>
      <c r="AP80" s="488">
        <f t="shared" si="47"/>
        <v>129224.5636332</v>
      </c>
      <c r="AQ80" s="488">
        <f t="shared" si="47"/>
        <v>128436.6089769</v>
      </c>
      <c r="AR80" s="488">
        <f t="shared" si="47"/>
        <v>127648.65432059999</v>
      </c>
      <c r="AS80" s="488">
        <f t="shared" si="47"/>
        <v>126860.6996643</v>
      </c>
      <c r="AT80" s="488">
        <f t="shared" si="47"/>
        <v>126072.745008</v>
      </c>
      <c r="AU80" s="488"/>
      <c r="AV80" s="488"/>
      <c r="AW80" s="715"/>
      <c r="AX80" s="509" t="str">
        <f>B80&amp;"-"&amp;C80&amp;"-"&amp;E80</f>
        <v>HAC-cassava-beans-Full till</v>
      </c>
    </row>
    <row r="81" spans="1:50" x14ac:dyDescent="0.2">
      <c r="A81" s="436"/>
      <c r="B81" s="962"/>
      <c r="C81" s="951"/>
      <c r="D81" s="467"/>
      <c r="E81" s="474" t="str">
        <f t="shared" si="39"/>
        <v>Reduced till</v>
      </c>
      <c r="F81" s="488">
        <f t="shared" ref="F81:AT81" si="48">_xlfn.XLOOKUP($AX81,$AX$24:$AX$41,$I$24:$I$41,"ERROR")*(F59*$D$58)</f>
        <v>0</v>
      </c>
      <c r="G81" s="488">
        <f t="shared" si="48"/>
        <v>426.9884811192</v>
      </c>
      <c r="H81" s="488">
        <f t="shared" si="48"/>
        <v>853.97696223840001</v>
      </c>
      <c r="I81" s="488">
        <f t="shared" si="48"/>
        <v>1280.9654433576002</v>
      </c>
      <c r="J81" s="488">
        <f t="shared" si="48"/>
        <v>1707.9539244768</v>
      </c>
      <c r="K81" s="488">
        <f t="shared" si="48"/>
        <v>2134.9424055960003</v>
      </c>
      <c r="L81" s="488">
        <f t="shared" si="48"/>
        <v>2561.9308867152004</v>
      </c>
      <c r="M81" s="488">
        <f t="shared" si="48"/>
        <v>2988.9193678344</v>
      </c>
      <c r="N81" s="488">
        <f t="shared" si="48"/>
        <v>3415.9078489536</v>
      </c>
      <c r="O81" s="488">
        <f t="shared" si="48"/>
        <v>3842.8963300728001</v>
      </c>
      <c r="P81" s="488">
        <f t="shared" si="48"/>
        <v>4269.8848111919997</v>
      </c>
      <c r="Q81" s="488">
        <f t="shared" si="48"/>
        <v>4696.8732923111993</v>
      </c>
      <c r="R81" s="488">
        <f t="shared" si="48"/>
        <v>5123.8617734303989</v>
      </c>
      <c r="S81" s="488">
        <f t="shared" si="48"/>
        <v>5550.8502545495985</v>
      </c>
      <c r="T81" s="488">
        <f t="shared" si="48"/>
        <v>5977.838735668799</v>
      </c>
      <c r="U81" s="488">
        <f t="shared" si="48"/>
        <v>6404.8272167879995</v>
      </c>
      <c r="V81" s="488">
        <f t="shared" si="48"/>
        <v>6831.8156979072</v>
      </c>
      <c r="W81" s="488">
        <f t="shared" si="48"/>
        <v>7258.8041790264006</v>
      </c>
      <c r="X81" s="488">
        <f t="shared" si="48"/>
        <v>7685.7926601456011</v>
      </c>
      <c r="Y81" s="488">
        <f t="shared" si="48"/>
        <v>8112.7811412648016</v>
      </c>
      <c r="Z81" s="488">
        <f t="shared" si="48"/>
        <v>8539.769622384003</v>
      </c>
      <c r="AA81" s="488">
        <f t="shared" si="48"/>
        <v>8966.7581035032035</v>
      </c>
      <c r="AB81" s="488">
        <f t="shared" si="48"/>
        <v>9393.7465846224022</v>
      </c>
      <c r="AC81" s="488">
        <f t="shared" si="48"/>
        <v>9820.7350657416027</v>
      </c>
      <c r="AD81" s="488">
        <f t="shared" si="48"/>
        <v>10247.723546860803</v>
      </c>
      <c r="AE81" s="488">
        <f t="shared" si="48"/>
        <v>10674.712027980002</v>
      </c>
      <c r="AF81" s="488">
        <f t="shared" si="48"/>
        <v>11101.700509099202</v>
      </c>
      <c r="AG81" s="488">
        <f t="shared" si="48"/>
        <v>11528.688990218403</v>
      </c>
      <c r="AH81" s="488">
        <f t="shared" si="48"/>
        <v>11955.677471337603</v>
      </c>
      <c r="AI81" s="488">
        <f t="shared" si="48"/>
        <v>12382.665952456804</v>
      </c>
      <c r="AJ81" s="488">
        <f t="shared" si="48"/>
        <v>12809.654433576005</v>
      </c>
      <c r="AK81" s="488">
        <f t="shared" si="48"/>
        <v>13236.642914695205</v>
      </c>
      <c r="AL81" s="488">
        <f t="shared" si="48"/>
        <v>13663.631395814406</v>
      </c>
      <c r="AM81" s="488">
        <f t="shared" si="48"/>
        <v>14090.619876933606</v>
      </c>
      <c r="AN81" s="488">
        <f t="shared" si="48"/>
        <v>14517.608358052807</v>
      </c>
      <c r="AO81" s="488">
        <f t="shared" si="48"/>
        <v>14944.596839172007</v>
      </c>
      <c r="AP81" s="488">
        <f t="shared" si="48"/>
        <v>15371.585320291208</v>
      </c>
      <c r="AQ81" s="488">
        <f t="shared" si="48"/>
        <v>15798.573801410406</v>
      </c>
      <c r="AR81" s="488">
        <f t="shared" si="48"/>
        <v>16225.562282529609</v>
      </c>
      <c r="AS81" s="488">
        <f t="shared" si="48"/>
        <v>16652.550763648807</v>
      </c>
      <c r="AT81" s="488">
        <f t="shared" si="48"/>
        <v>17079.53924476801</v>
      </c>
      <c r="AU81" s="488"/>
      <c r="AV81" s="488"/>
      <c r="AW81" s="715"/>
      <c r="AX81" s="509" t="str">
        <f>B80&amp;"-"&amp;C80&amp;"-"&amp;E81</f>
        <v>HAC-cassava-beans-Reduced till</v>
      </c>
    </row>
    <row r="82" spans="1:50" x14ac:dyDescent="0.2">
      <c r="A82" s="436"/>
      <c r="B82" s="962"/>
      <c r="C82" s="951"/>
      <c r="D82" s="467"/>
      <c r="E82" s="474" t="str">
        <f t="shared" si="39"/>
        <v>No-till</v>
      </c>
      <c r="F82" s="488">
        <f t="shared" ref="F82:AT82" si="49">_xlfn.XLOOKUP($AX82,$AX$24:$AX$41,$I$24:$I$41,"ERROR")*(F60*$D$58)</f>
        <v>0</v>
      </c>
      <c r="G82" s="488">
        <f t="shared" si="49"/>
        <v>448.55355592320007</v>
      </c>
      <c r="H82" s="488">
        <f t="shared" si="49"/>
        <v>897.10711184640013</v>
      </c>
      <c r="I82" s="488">
        <f t="shared" si="49"/>
        <v>1345.6606677696002</v>
      </c>
      <c r="J82" s="488">
        <f t="shared" si="49"/>
        <v>1794.2142236928003</v>
      </c>
      <c r="K82" s="488">
        <f t="shared" si="49"/>
        <v>2242.7677796160006</v>
      </c>
      <c r="L82" s="488">
        <f t="shared" si="49"/>
        <v>2691.3213355392004</v>
      </c>
      <c r="M82" s="488">
        <f t="shared" si="49"/>
        <v>3139.8748914624007</v>
      </c>
      <c r="N82" s="488">
        <f t="shared" si="49"/>
        <v>3588.4284473856005</v>
      </c>
      <c r="O82" s="488">
        <f t="shared" si="49"/>
        <v>4036.9820033088004</v>
      </c>
      <c r="P82" s="488">
        <f t="shared" si="49"/>
        <v>4485.5355592320002</v>
      </c>
      <c r="Q82" s="488">
        <f t="shared" si="49"/>
        <v>4934.0891151551996</v>
      </c>
      <c r="R82" s="488">
        <f t="shared" si="49"/>
        <v>5382.6426710783999</v>
      </c>
      <c r="S82" s="488">
        <f t="shared" si="49"/>
        <v>5831.1962270015993</v>
      </c>
      <c r="T82" s="488">
        <f t="shared" si="49"/>
        <v>6279.7497829247995</v>
      </c>
      <c r="U82" s="488">
        <f t="shared" si="49"/>
        <v>6728.3033388480007</v>
      </c>
      <c r="V82" s="488">
        <f t="shared" si="49"/>
        <v>7176.856894771201</v>
      </c>
      <c r="W82" s="488">
        <f t="shared" si="49"/>
        <v>7625.4104506944013</v>
      </c>
      <c r="X82" s="488">
        <f t="shared" si="49"/>
        <v>8073.9640066176016</v>
      </c>
      <c r="Y82" s="488">
        <f t="shared" si="49"/>
        <v>8522.5175625408028</v>
      </c>
      <c r="Z82" s="488">
        <f t="shared" si="49"/>
        <v>8971.071118464004</v>
      </c>
      <c r="AA82" s="488">
        <f t="shared" si="49"/>
        <v>9419.6246743872034</v>
      </c>
      <c r="AB82" s="488">
        <f t="shared" si="49"/>
        <v>9868.1782303104028</v>
      </c>
      <c r="AC82" s="488">
        <f t="shared" si="49"/>
        <v>10316.731786233604</v>
      </c>
      <c r="AD82" s="488">
        <f t="shared" si="49"/>
        <v>10765.285342156805</v>
      </c>
      <c r="AE82" s="488">
        <f t="shared" si="49"/>
        <v>11213.838898080005</v>
      </c>
      <c r="AF82" s="488">
        <f t="shared" si="49"/>
        <v>11662.392454003204</v>
      </c>
      <c r="AG82" s="488">
        <f t="shared" si="49"/>
        <v>12110.946009926405</v>
      </c>
      <c r="AH82" s="488">
        <f t="shared" si="49"/>
        <v>12559.499565849605</v>
      </c>
      <c r="AI82" s="488">
        <f t="shared" si="49"/>
        <v>13008.053121772806</v>
      </c>
      <c r="AJ82" s="488">
        <f t="shared" si="49"/>
        <v>13456.606677696005</v>
      </c>
      <c r="AK82" s="488">
        <f t="shared" si="49"/>
        <v>13905.160233619206</v>
      </c>
      <c r="AL82" s="488">
        <f t="shared" si="49"/>
        <v>14353.713789542406</v>
      </c>
      <c r="AM82" s="488">
        <f t="shared" si="49"/>
        <v>14802.267345465609</v>
      </c>
      <c r="AN82" s="488">
        <f t="shared" si="49"/>
        <v>15250.820901388808</v>
      </c>
      <c r="AO82" s="488">
        <f t="shared" si="49"/>
        <v>15699.374457312009</v>
      </c>
      <c r="AP82" s="488">
        <f t="shared" si="49"/>
        <v>16147.928013235209</v>
      </c>
      <c r="AQ82" s="488">
        <f t="shared" si="49"/>
        <v>16596.481569158408</v>
      </c>
      <c r="AR82" s="488">
        <f t="shared" si="49"/>
        <v>17045.035125081609</v>
      </c>
      <c r="AS82" s="488">
        <f t="shared" si="49"/>
        <v>17493.58868100481</v>
      </c>
      <c r="AT82" s="488">
        <f t="shared" si="49"/>
        <v>17942.142236928012</v>
      </c>
      <c r="AU82" s="488"/>
      <c r="AV82" s="488"/>
      <c r="AW82" s="715"/>
      <c r="AX82" s="509" t="str">
        <f>B80&amp;"-"&amp;C80&amp;"-"&amp;E82</f>
        <v>HAC-cassava-beans-No-till</v>
      </c>
    </row>
    <row r="83" spans="1:50" x14ac:dyDescent="0.2">
      <c r="A83" s="436"/>
      <c r="B83" s="962" t="str">
        <f t="shared" ref="B83:C83" si="50">B61</f>
        <v>VOL</v>
      </c>
      <c r="C83" s="951" t="str">
        <f t="shared" si="50"/>
        <v>vegetables</v>
      </c>
      <c r="D83" s="467">
        <f>D61</f>
        <v>4235.4000000000005</v>
      </c>
      <c r="E83" s="474" t="str">
        <f t="shared" si="39"/>
        <v>Full till</v>
      </c>
      <c r="F83" s="488">
        <f t="shared" ref="F83:AT83" si="51">_xlfn.XLOOKUP($AX83,$AX$24:$AX$41,$I$24:$I$41,"ERROR")*(F61*$D$61)</f>
        <v>185086.98</v>
      </c>
      <c r="G83" s="488">
        <f t="shared" si="51"/>
        <v>184161.54510000002</v>
      </c>
      <c r="H83" s="488">
        <f t="shared" si="51"/>
        <v>183236.1102</v>
      </c>
      <c r="I83" s="488">
        <f t="shared" si="51"/>
        <v>182310.6753</v>
      </c>
      <c r="J83" s="488">
        <f t="shared" si="51"/>
        <v>181385.24039999998</v>
      </c>
      <c r="K83" s="488">
        <f t="shared" si="51"/>
        <v>180459.80549999999</v>
      </c>
      <c r="L83" s="488">
        <f t="shared" si="51"/>
        <v>179534.37060000002</v>
      </c>
      <c r="M83" s="488">
        <f t="shared" si="51"/>
        <v>178608.9357</v>
      </c>
      <c r="N83" s="488">
        <f t="shared" si="51"/>
        <v>177683.50080000001</v>
      </c>
      <c r="O83" s="488">
        <f t="shared" si="51"/>
        <v>176758.06589999999</v>
      </c>
      <c r="P83" s="488">
        <f t="shared" si="51"/>
        <v>175832.63099999999</v>
      </c>
      <c r="Q83" s="488">
        <f t="shared" si="51"/>
        <v>174907.19610000003</v>
      </c>
      <c r="R83" s="488">
        <f t="shared" si="51"/>
        <v>173981.76120000001</v>
      </c>
      <c r="S83" s="488">
        <f t="shared" si="51"/>
        <v>173056.32630000002</v>
      </c>
      <c r="T83" s="488">
        <f t="shared" si="51"/>
        <v>172130.89140000002</v>
      </c>
      <c r="U83" s="488">
        <f t="shared" si="51"/>
        <v>171205.45650000003</v>
      </c>
      <c r="V83" s="488">
        <f t="shared" si="51"/>
        <v>170280.02160000001</v>
      </c>
      <c r="W83" s="488">
        <f t="shared" si="51"/>
        <v>169354.58670000001</v>
      </c>
      <c r="X83" s="488">
        <f t="shared" si="51"/>
        <v>168429.15180000002</v>
      </c>
      <c r="Y83" s="488">
        <f t="shared" si="51"/>
        <v>167503.71690000003</v>
      </c>
      <c r="Z83" s="488">
        <f t="shared" si="51"/>
        <v>166578.28200000001</v>
      </c>
      <c r="AA83" s="488">
        <f t="shared" si="51"/>
        <v>165652.84710000001</v>
      </c>
      <c r="AB83" s="488">
        <f t="shared" si="51"/>
        <v>164727.41220000002</v>
      </c>
      <c r="AC83" s="488">
        <f t="shared" si="51"/>
        <v>163801.9773</v>
      </c>
      <c r="AD83" s="488">
        <f t="shared" si="51"/>
        <v>162876.54240000001</v>
      </c>
      <c r="AE83" s="488">
        <f t="shared" si="51"/>
        <v>161951.10750000001</v>
      </c>
      <c r="AF83" s="488">
        <f t="shared" si="51"/>
        <v>161025.67259999999</v>
      </c>
      <c r="AG83" s="488">
        <f t="shared" si="51"/>
        <v>160100.2377</v>
      </c>
      <c r="AH83" s="488">
        <f t="shared" si="51"/>
        <v>159174.8028</v>
      </c>
      <c r="AI83" s="488">
        <f t="shared" si="51"/>
        <v>158249.36789999998</v>
      </c>
      <c r="AJ83" s="488">
        <f t="shared" si="51"/>
        <v>157323.93299999999</v>
      </c>
      <c r="AK83" s="488">
        <f t="shared" si="51"/>
        <v>156398.4981</v>
      </c>
      <c r="AL83" s="488">
        <f t="shared" si="51"/>
        <v>155473.0632</v>
      </c>
      <c r="AM83" s="488">
        <f t="shared" si="51"/>
        <v>154547.62829999998</v>
      </c>
      <c r="AN83" s="488">
        <f t="shared" si="51"/>
        <v>153622.19339999999</v>
      </c>
      <c r="AO83" s="488">
        <f t="shared" si="51"/>
        <v>152696.7585</v>
      </c>
      <c r="AP83" s="488">
        <f t="shared" si="51"/>
        <v>151771.3236</v>
      </c>
      <c r="AQ83" s="488">
        <f t="shared" si="51"/>
        <v>150845.88869999998</v>
      </c>
      <c r="AR83" s="488">
        <f t="shared" si="51"/>
        <v>149920.45379999999</v>
      </c>
      <c r="AS83" s="488">
        <f t="shared" si="51"/>
        <v>148995.0189</v>
      </c>
      <c r="AT83" s="488">
        <f t="shared" si="51"/>
        <v>148069.584</v>
      </c>
      <c r="AU83" s="488"/>
      <c r="AV83" s="488"/>
      <c r="AW83" s="715"/>
      <c r="AX83" s="509" t="str">
        <f>B83&amp;"-"&amp;C83&amp;"-"&amp;E83</f>
        <v>VOL-vegetables-Full till</v>
      </c>
    </row>
    <row r="84" spans="1:50" x14ac:dyDescent="0.2">
      <c r="A84" s="436"/>
      <c r="B84" s="962"/>
      <c r="C84" s="951"/>
      <c r="D84" s="467"/>
      <c r="E84" s="474" t="str">
        <f t="shared" si="39"/>
        <v>Reduced till</v>
      </c>
      <c r="F84" s="488">
        <f t="shared" ref="F84:AT84" si="52">_xlfn.XLOOKUP($AX84,$AX$24:$AX$41,$I$24:$I$41,"ERROR")*(F62*$D$61)</f>
        <v>0</v>
      </c>
      <c r="G84" s="488">
        <f t="shared" si="52"/>
        <v>501.48830160000011</v>
      </c>
      <c r="H84" s="488">
        <f t="shared" si="52"/>
        <v>1002.9766032000002</v>
      </c>
      <c r="I84" s="488">
        <f t="shared" si="52"/>
        <v>1504.4649048000003</v>
      </c>
      <c r="J84" s="488">
        <f t="shared" si="52"/>
        <v>2005.9532064000005</v>
      </c>
      <c r="K84" s="488">
        <f t="shared" si="52"/>
        <v>2507.4415080000008</v>
      </c>
      <c r="L84" s="488">
        <f t="shared" si="52"/>
        <v>3008.9298096000007</v>
      </c>
      <c r="M84" s="488">
        <f t="shared" si="52"/>
        <v>3510.418111200001</v>
      </c>
      <c r="N84" s="488">
        <f t="shared" si="52"/>
        <v>4011.9064128000009</v>
      </c>
      <c r="O84" s="488">
        <f t="shared" si="52"/>
        <v>4513.3947144000003</v>
      </c>
      <c r="P84" s="488">
        <f t="shared" si="52"/>
        <v>5014.8830160000007</v>
      </c>
      <c r="Q84" s="488">
        <f t="shared" si="52"/>
        <v>5516.3713176000001</v>
      </c>
      <c r="R84" s="488">
        <f t="shared" si="52"/>
        <v>6017.8596192000005</v>
      </c>
      <c r="S84" s="488">
        <f t="shared" si="52"/>
        <v>6519.3479207999999</v>
      </c>
      <c r="T84" s="488">
        <f t="shared" si="52"/>
        <v>7020.8362224000002</v>
      </c>
      <c r="U84" s="488">
        <f t="shared" si="52"/>
        <v>7522.3245240000015</v>
      </c>
      <c r="V84" s="488">
        <f t="shared" si="52"/>
        <v>8023.8128256000018</v>
      </c>
      <c r="W84" s="488">
        <f t="shared" si="52"/>
        <v>8525.3011272000022</v>
      </c>
      <c r="X84" s="488">
        <f t="shared" si="52"/>
        <v>9026.7894288000025</v>
      </c>
      <c r="Y84" s="488">
        <f t="shared" si="52"/>
        <v>9528.2777304000028</v>
      </c>
      <c r="Z84" s="488">
        <f t="shared" si="52"/>
        <v>10029.766032000003</v>
      </c>
      <c r="AA84" s="488">
        <f t="shared" si="52"/>
        <v>10531.254333600004</v>
      </c>
      <c r="AB84" s="488">
        <f t="shared" si="52"/>
        <v>11032.742635200006</v>
      </c>
      <c r="AC84" s="488">
        <f t="shared" si="52"/>
        <v>11534.230936800006</v>
      </c>
      <c r="AD84" s="488">
        <f t="shared" si="52"/>
        <v>12035.719238400006</v>
      </c>
      <c r="AE84" s="488">
        <f t="shared" si="52"/>
        <v>12537.207540000005</v>
      </c>
      <c r="AF84" s="488">
        <f t="shared" si="52"/>
        <v>13038.695841600005</v>
      </c>
      <c r="AG84" s="488">
        <f t="shared" si="52"/>
        <v>13540.184143200006</v>
      </c>
      <c r="AH84" s="488">
        <f t="shared" si="52"/>
        <v>14041.672444800006</v>
      </c>
      <c r="AI84" s="488">
        <f t="shared" si="52"/>
        <v>14543.160746400006</v>
      </c>
      <c r="AJ84" s="488">
        <f t="shared" si="52"/>
        <v>15044.649048000008</v>
      </c>
      <c r="AK84" s="488">
        <f t="shared" si="52"/>
        <v>15546.137349600009</v>
      </c>
      <c r="AL84" s="488">
        <f t="shared" si="52"/>
        <v>16047.625651200009</v>
      </c>
      <c r="AM84" s="488">
        <f t="shared" si="52"/>
        <v>16549.113952800009</v>
      </c>
      <c r="AN84" s="488">
        <f t="shared" si="52"/>
        <v>17050.602254400012</v>
      </c>
      <c r="AO84" s="488">
        <f t="shared" si="52"/>
        <v>17552.09055600001</v>
      </c>
      <c r="AP84" s="488">
        <f t="shared" si="52"/>
        <v>18053.578857600012</v>
      </c>
      <c r="AQ84" s="488">
        <f t="shared" si="52"/>
        <v>18555.067159200011</v>
      </c>
      <c r="AR84" s="488">
        <f t="shared" si="52"/>
        <v>19056.555460800013</v>
      </c>
      <c r="AS84" s="488">
        <f t="shared" si="52"/>
        <v>19558.043762400011</v>
      </c>
      <c r="AT84" s="488">
        <f t="shared" si="52"/>
        <v>20059.532064000014</v>
      </c>
      <c r="AU84" s="488"/>
      <c r="AV84" s="488"/>
      <c r="AW84" s="715"/>
      <c r="AX84" s="509" t="str">
        <f>B83&amp;"-"&amp;C83&amp;"-"&amp;E84</f>
        <v>VOL-vegetables-Reduced till</v>
      </c>
    </row>
    <row r="85" spans="1:50" x14ac:dyDescent="0.2">
      <c r="A85" s="436"/>
      <c r="B85" s="962"/>
      <c r="C85" s="951"/>
      <c r="D85" s="467"/>
      <c r="E85" s="474" t="str">
        <f t="shared" si="39"/>
        <v>No-till</v>
      </c>
      <c r="F85" s="488">
        <f t="shared" ref="F85:AT85" si="53">_xlfn.XLOOKUP($AX85,$AX$24:$AX$41,$I$24:$I$41,"ERROR")*(F63*$D$61)</f>
        <v>0</v>
      </c>
      <c r="G85" s="488">
        <f t="shared" si="53"/>
        <v>526.81599360000018</v>
      </c>
      <c r="H85" s="488">
        <f t="shared" si="53"/>
        <v>1053.6319872000004</v>
      </c>
      <c r="I85" s="488">
        <f t="shared" si="53"/>
        <v>1580.4479808000003</v>
      </c>
      <c r="J85" s="488">
        <f t="shared" si="53"/>
        <v>2107.2639744000007</v>
      </c>
      <c r="K85" s="488">
        <f t="shared" si="53"/>
        <v>2634.0799680000009</v>
      </c>
      <c r="L85" s="488">
        <f t="shared" si="53"/>
        <v>3160.8959616000011</v>
      </c>
      <c r="M85" s="488">
        <f t="shared" si="53"/>
        <v>3687.7119552000013</v>
      </c>
      <c r="N85" s="488">
        <f t="shared" si="53"/>
        <v>4214.5279488000015</v>
      </c>
      <c r="O85" s="488">
        <f t="shared" si="53"/>
        <v>4741.3439424000007</v>
      </c>
      <c r="P85" s="488">
        <f t="shared" si="53"/>
        <v>5268.1599360000009</v>
      </c>
      <c r="Q85" s="488">
        <f t="shared" si="53"/>
        <v>5794.9759296000011</v>
      </c>
      <c r="R85" s="488">
        <f t="shared" si="53"/>
        <v>6321.7919232000004</v>
      </c>
      <c r="S85" s="488">
        <f t="shared" si="53"/>
        <v>6848.6079168000006</v>
      </c>
      <c r="T85" s="488">
        <f t="shared" si="53"/>
        <v>7375.4239104000008</v>
      </c>
      <c r="U85" s="488">
        <f t="shared" si="53"/>
        <v>7902.2399040000018</v>
      </c>
      <c r="V85" s="488">
        <f t="shared" si="53"/>
        <v>8429.0558976000029</v>
      </c>
      <c r="W85" s="488">
        <f t="shared" si="53"/>
        <v>8955.8718912000022</v>
      </c>
      <c r="X85" s="488">
        <f t="shared" si="53"/>
        <v>9482.6878848000033</v>
      </c>
      <c r="Y85" s="488">
        <f t="shared" si="53"/>
        <v>10009.503878400004</v>
      </c>
      <c r="Z85" s="488">
        <f t="shared" si="53"/>
        <v>10536.319872000004</v>
      </c>
      <c r="AA85" s="488">
        <f t="shared" si="53"/>
        <v>11063.135865600005</v>
      </c>
      <c r="AB85" s="488">
        <f t="shared" si="53"/>
        <v>11589.951859200006</v>
      </c>
      <c r="AC85" s="488">
        <f t="shared" si="53"/>
        <v>12116.767852800007</v>
      </c>
      <c r="AD85" s="488">
        <f t="shared" si="53"/>
        <v>12643.583846400006</v>
      </c>
      <c r="AE85" s="488">
        <f t="shared" si="53"/>
        <v>13170.399840000005</v>
      </c>
      <c r="AF85" s="488">
        <f t="shared" si="53"/>
        <v>13697.215833600007</v>
      </c>
      <c r="AG85" s="488">
        <f t="shared" si="53"/>
        <v>14224.031827200008</v>
      </c>
      <c r="AH85" s="488">
        <f t="shared" si="53"/>
        <v>14750.847820800007</v>
      </c>
      <c r="AI85" s="488">
        <f t="shared" si="53"/>
        <v>15277.663814400008</v>
      </c>
      <c r="AJ85" s="488">
        <f t="shared" si="53"/>
        <v>15804.479808000009</v>
      </c>
      <c r="AK85" s="488">
        <f t="shared" si="53"/>
        <v>16331.29580160001</v>
      </c>
      <c r="AL85" s="488">
        <f t="shared" si="53"/>
        <v>16858.11179520001</v>
      </c>
      <c r="AM85" s="488">
        <f t="shared" si="53"/>
        <v>17384.927788800011</v>
      </c>
      <c r="AN85" s="488">
        <f t="shared" si="53"/>
        <v>17911.743782400012</v>
      </c>
      <c r="AO85" s="488">
        <f t="shared" si="53"/>
        <v>18438.559776000013</v>
      </c>
      <c r="AP85" s="488">
        <f t="shared" si="53"/>
        <v>18965.375769600014</v>
      </c>
      <c r="AQ85" s="488">
        <f t="shared" si="53"/>
        <v>19492.191763200011</v>
      </c>
      <c r="AR85" s="488">
        <f t="shared" si="53"/>
        <v>20019.007756800012</v>
      </c>
      <c r="AS85" s="488">
        <f t="shared" si="53"/>
        <v>20545.823750400014</v>
      </c>
      <c r="AT85" s="488">
        <f t="shared" si="53"/>
        <v>21072.639744000015</v>
      </c>
      <c r="AU85" s="488"/>
      <c r="AV85" s="488"/>
      <c r="AW85" s="715"/>
      <c r="AX85" s="509" t="str">
        <f>B83&amp;"-"&amp;C83&amp;"-"&amp;E85</f>
        <v>VOL-vegetables-No-till</v>
      </c>
    </row>
    <row r="86" spans="1:50" x14ac:dyDescent="0.2">
      <c r="A86" s="436"/>
      <c r="B86" s="962" t="str">
        <f t="shared" ref="B86:C86" si="54">B64</f>
        <v>VOL</v>
      </c>
      <c r="C86" s="951" t="str">
        <f t="shared" si="54"/>
        <v>cassava-beans</v>
      </c>
      <c r="D86" s="467">
        <f>D64</f>
        <v>1194.5999999999999</v>
      </c>
      <c r="E86" s="474" t="str">
        <f t="shared" si="39"/>
        <v>Full till</v>
      </c>
      <c r="F86" s="488">
        <f t="shared" ref="F86:AT86" si="55">_xlfn.XLOOKUP($AX86,$AX$24:$AX$41,$I$24:$I$41,"ERROR")*(F64*$D$64)</f>
        <v>52204.01999999999</v>
      </c>
      <c r="G86" s="488">
        <f t="shared" si="55"/>
        <v>51942.999899999995</v>
      </c>
      <c r="H86" s="488">
        <f t="shared" si="55"/>
        <v>51681.979799999994</v>
      </c>
      <c r="I86" s="488">
        <f t="shared" si="55"/>
        <v>51420.959699999985</v>
      </c>
      <c r="J86" s="488">
        <f t="shared" si="55"/>
        <v>51159.939599999991</v>
      </c>
      <c r="K86" s="488">
        <f t="shared" si="55"/>
        <v>50898.919499999989</v>
      </c>
      <c r="L86" s="488">
        <f t="shared" si="55"/>
        <v>50637.899399999995</v>
      </c>
      <c r="M86" s="488">
        <f t="shared" si="55"/>
        <v>50376.879299999993</v>
      </c>
      <c r="N86" s="488">
        <f t="shared" si="55"/>
        <v>50115.859199999984</v>
      </c>
      <c r="O86" s="488">
        <f t="shared" si="55"/>
        <v>49854.83909999999</v>
      </c>
      <c r="P86" s="488">
        <f t="shared" si="55"/>
        <v>49593.818999999989</v>
      </c>
      <c r="Q86" s="488">
        <f t="shared" si="55"/>
        <v>49332.798899999994</v>
      </c>
      <c r="R86" s="488">
        <f t="shared" si="55"/>
        <v>49071.778799999993</v>
      </c>
      <c r="S86" s="488">
        <f t="shared" si="55"/>
        <v>48810.758699999998</v>
      </c>
      <c r="T86" s="488">
        <f t="shared" si="55"/>
        <v>48549.738599999997</v>
      </c>
      <c r="U86" s="488">
        <f t="shared" si="55"/>
        <v>48288.718499999988</v>
      </c>
      <c r="V86" s="488">
        <f t="shared" si="55"/>
        <v>48027.698399999994</v>
      </c>
      <c r="W86" s="488">
        <f t="shared" si="55"/>
        <v>47766.678299999992</v>
      </c>
      <c r="X86" s="488">
        <f t="shared" si="55"/>
        <v>47505.658199999998</v>
      </c>
      <c r="Y86" s="488">
        <f t="shared" si="55"/>
        <v>47244.638099999996</v>
      </c>
      <c r="Z86" s="488">
        <f t="shared" si="55"/>
        <v>46983.617999999988</v>
      </c>
      <c r="AA86" s="488">
        <f t="shared" si="55"/>
        <v>46722.597899999993</v>
      </c>
      <c r="AB86" s="488">
        <f t="shared" si="55"/>
        <v>46461.577799999992</v>
      </c>
      <c r="AC86" s="488">
        <f t="shared" si="55"/>
        <v>46200.557699999998</v>
      </c>
      <c r="AD86" s="488">
        <f t="shared" si="55"/>
        <v>45939.537599999989</v>
      </c>
      <c r="AE86" s="488">
        <f t="shared" si="55"/>
        <v>45678.517499999987</v>
      </c>
      <c r="AF86" s="488">
        <f t="shared" si="55"/>
        <v>45417.497399999993</v>
      </c>
      <c r="AG86" s="488">
        <f t="shared" si="55"/>
        <v>45156.477299999991</v>
      </c>
      <c r="AH86" s="488">
        <f t="shared" si="55"/>
        <v>44895.457199999997</v>
      </c>
      <c r="AI86" s="488">
        <f t="shared" si="55"/>
        <v>44634.437099999996</v>
      </c>
      <c r="AJ86" s="488">
        <f t="shared" si="55"/>
        <v>44373.416999999987</v>
      </c>
      <c r="AK86" s="488">
        <f t="shared" si="55"/>
        <v>44112.396899999992</v>
      </c>
      <c r="AL86" s="488">
        <f t="shared" si="55"/>
        <v>43851.376799999991</v>
      </c>
      <c r="AM86" s="488">
        <f t="shared" si="55"/>
        <v>43590.356699999989</v>
      </c>
      <c r="AN86" s="488">
        <f t="shared" si="55"/>
        <v>43329.336599999995</v>
      </c>
      <c r="AO86" s="488">
        <f t="shared" si="55"/>
        <v>43068.316499999986</v>
      </c>
      <c r="AP86" s="488">
        <f t="shared" si="55"/>
        <v>42807.296399999992</v>
      </c>
      <c r="AQ86" s="488">
        <f t="shared" si="55"/>
        <v>42546.27629999999</v>
      </c>
      <c r="AR86" s="488">
        <f t="shared" si="55"/>
        <v>42285.256199999989</v>
      </c>
      <c r="AS86" s="488">
        <f t="shared" si="55"/>
        <v>42024.236099999995</v>
      </c>
      <c r="AT86" s="488">
        <f t="shared" si="55"/>
        <v>41763.215999999986</v>
      </c>
      <c r="AU86" s="488"/>
      <c r="AV86" s="488"/>
      <c r="AW86" s="715"/>
      <c r="AX86" s="509" t="str">
        <f>B86&amp;"-"&amp;C86&amp;"-"&amp;E86</f>
        <v>VOL-cassava-beans-Full till</v>
      </c>
    </row>
    <row r="87" spans="1:50" x14ac:dyDescent="0.2">
      <c r="A87" s="436"/>
      <c r="B87" s="962"/>
      <c r="C87" s="951"/>
      <c r="D87" s="467"/>
      <c r="E87" s="474" t="str">
        <f t="shared" si="39"/>
        <v>Reduced till</v>
      </c>
      <c r="F87" s="488">
        <f t="shared" ref="F87:AT87" si="56">_xlfn.XLOOKUP($AX87,$AX$24:$AX$41,$I$24:$I$41,"ERROR")*(F65*$D$64)</f>
        <v>0</v>
      </c>
      <c r="G87" s="488">
        <f t="shared" si="56"/>
        <v>141.44541839999999</v>
      </c>
      <c r="H87" s="488">
        <f t="shared" si="56"/>
        <v>282.89083679999999</v>
      </c>
      <c r="I87" s="488">
        <f t="shared" si="56"/>
        <v>424.33625519999993</v>
      </c>
      <c r="J87" s="488">
        <f t="shared" si="56"/>
        <v>565.78167359999998</v>
      </c>
      <c r="K87" s="488">
        <f t="shared" si="56"/>
        <v>707.22709199999997</v>
      </c>
      <c r="L87" s="488">
        <f t="shared" si="56"/>
        <v>848.67251040000008</v>
      </c>
      <c r="M87" s="488">
        <f t="shared" si="56"/>
        <v>990.11792880000007</v>
      </c>
      <c r="N87" s="488">
        <f t="shared" si="56"/>
        <v>1131.5633472</v>
      </c>
      <c r="O87" s="488">
        <f t="shared" si="56"/>
        <v>1273.0087655999998</v>
      </c>
      <c r="P87" s="488">
        <f t="shared" si="56"/>
        <v>1414.4541839999999</v>
      </c>
      <c r="Q87" s="488">
        <f t="shared" si="56"/>
        <v>1555.8996023999998</v>
      </c>
      <c r="R87" s="488">
        <f t="shared" si="56"/>
        <v>1697.3450207999997</v>
      </c>
      <c r="S87" s="488">
        <f t="shared" si="56"/>
        <v>1838.7904391999998</v>
      </c>
      <c r="T87" s="488">
        <f t="shared" si="56"/>
        <v>1980.2358575999997</v>
      </c>
      <c r="U87" s="488">
        <f t="shared" si="56"/>
        <v>2121.6812759999998</v>
      </c>
      <c r="V87" s="488">
        <f t="shared" si="56"/>
        <v>2263.1266943999999</v>
      </c>
      <c r="W87" s="488">
        <f t="shared" si="56"/>
        <v>2404.5721128</v>
      </c>
      <c r="X87" s="488">
        <f t="shared" si="56"/>
        <v>2546.0175312000006</v>
      </c>
      <c r="Y87" s="488">
        <f t="shared" si="56"/>
        <v>2687.4629496000002</v>
      </c>
      <c r="Z87" s="488">
        <f t="shared" si="56"/>
        <v>2828.9083680000003</v>
      </c>
      <c r="AA87" s="488">
        <f t="shared" si="56"/>
        <v>2970.3537864000009</v>
      </c>
      <c r="AB87" s="488">
        <f t="shared" si="56"/>
        <v>3111.799204800001</v>
      </c>
      <c r="AC87" s="488">
        <f t="shared" si="56"/>
        <v>3253.2446232000007</v>
      </c>
      <c r="AD87" s="488">
        <f t="shared" si="56"/>
        <v>3394.6900416000008</v>
      </c>
      <c r="AE87" s="488">
        <f t="shared" si="56"/>
        <v>3536.1354600000004</v>
      </c>
      <c r="AF87" s="488">
        <f t="shared" si="56"/>
        <v>3677.580878400001</v>
      </c>
      <c r="AG87" s="488">
        <f t="shared" si="56"/>
        <v>3819.0262968000011</v>
      </c>
      <c r="AH87" s="488">
        <f t="shared" si="56"/>
        <v>3960.4717152000007</v>
      </c>
      <c r="AI87" s="488">
        <f t="shared" si="56"/>
        <v>4101.9171336000009</v>
      </c>
      <c r="AJ87" s="488">
        <f t="shared" si="56"/>
        <v>4243.3625520000014</v>
      </c>
      <c r="AK87" s="488">
        <f t="shared" si="56"/>
        <v>4384.8079704000011</v>
      </c>
      <c r="AL87" s="488">
        <f t="shared" si="56"/>
        <v>4526.2533888000016</v>
      </c>
      <c r="AM87" s="488">
        <f t="shared" si="56"/>
        <v>4667.6988072000022</v>
      </c>
      <c r="AN87" s="488">
        <f t="shared" si="56"/>
        <v>4809.1442256000018</v>
      </c>
      <c r="AO87" s="488">
        <f t="shared" si="56"/>
        <v>4950.5896440000015</v>
      </c>
      <c r="AP87" s="488">
        <f t="shared" si="56"/>
        <v>5092.0350624000021</v>
      </c>
      <c r="AQ87" s="488">
        <f t="shared" si="56"/>
        <v>5233.4804808000026</v>
      </c>
      <c r="AR87" s="488">
        <f t="shared" si="56"/>
        <v>5374.9258992000023</v>
      </c>
      <c r="AS87" s="488">
        <f t="shared" si="56"/>
        <v>5516.3713176000028</v>
      </c>
      <c r="AT87" s="488">
        <f t="shared" si="56"/>
        <v>5657.8167360000025</v>
      </c>
      <c r="AU87" s="488"/>
      <c r="AV87" s="488"/>
      <c r="AW87" s="715"/>
      <c r="AX87" s="509" t="str">
        <f>B86&amp;"-"&amp;C86&amp;"-"&amp;E87</f>
        <v>VOL-cassava-beans-Reduced till</v>
      </c>
    </row>
    <row r="88" spans="1:50" x14ac:dyDescent="0.2">
      <c r="A88" s="436"/>
      <c r="B88" s="962"/>
      <c r="C88" s="951"/>
      <c r="D88" s="467"/>
      <c r="E88" s="474" t="str">
        <f t="shared" si="39"/>
        <v>No-till</v>
      </c>
      <c r="F88" s="488">
        <f t="shared" ref="F88:AT88" si="57">_xlfn.XLOOKUP($AX88,$AX$24:$AX$41,$I$24:$I$41,"ERROR")*(F66*$D$64)</f>
        <v>0</v>
      </c>
      <c r="G88" s="488">
        <f t="shared" si="57"/>
        <v>148.58912640000003</v>
      </c>
      <c r="H88" s="488">
        <f t="shared" si="57"/>
        <v>297.17825280000005</v>
      </c>
      <c r="I88" s="488">
        <f t="shared" si="57"/>
        <v>445.76737919999999</v>
      </c>
      <c r="J88" s="488">
        <f t="shared" si="57"/>
        <v>594.35650560000011</v>
      </c>
      <c r="K88" s="488">
        <f t="shared" si="57"/>
        <v>742.94563200000005</v>
      </c>
      <c r="L88" s="488">
        <f t="shared" si="57"/>
        <v>891.5347584000001</v>
      </c>
      <c r="M88" s="488">
        <f t="shared" si="57"/>
        <v>1040.1238848</v>
      </c>
      <c r="N88" s="488">
        <f t="shared" si="57"/>
        <v>1188.7130112000002</v>
      </c>
      <c r="O88" s="488">
        <f t="shared" si="57"/>
        <v>1337.3021375999999</v>
      </c>
      <c r="P88" s="488">
        <f t="shared" si="57"/>
        <v>1485.8912639999999</v>
      </c>
      <c r="Q88" s="488">
        <f t="shared" si="57"/>
        <v>1634.4803903999998</v>
      </c>
      <c r="R88" s="488">
        <f t="shared" si="57"/>
        <v>1783.0695168</v>
      </c>
      <c r="S88" s="488">
        <f t="shared" si="57"/>
        <v>1931.6586431999999</v>
      </c>
      <c r="T88" s="488">
        <f t="shared" si="57"/>
        <v>2080.2477696000001</v>
      </c>
      <c r="U88" s="488">
        <f t="shared" si="57"/>
        <v>2228.8368959999998</v>
      </c>
      <c r="V88" s="488">
        <f t="shared" si="57"/>
        <v>2377.4260224000004</v>
      </c>
      <c r="W88" s="488">
        <f t="shared" si="57"/>
        <v>2526.0151488000001</v>
      </c>
      <c r="X88" s="488">
        <f t="shared" si="57"/>
        <v>2674.6042752000008</v>
      </c>
      <c r="Y88" s="488">
        <f t="shared" si="57"/>
        <v>2823.1934016000005</v>
      </c>
      <c r="Z88" s="488">
        <f t="shared" si="57"/>
        <v>2971.7825280000006</v>
      </c>
      <c r="AA88" s="488">
        <f t="shared" si="57"/>
        <v>3120.3716544000008</v>
      </c>
      <c r="AB88" s="488">
        <f t="shared" si="57"/>
        <v>3268.9607808000014</v>
      </c>
      <c r="AC88" s="488">
        <f t="shared" si="57"/>
        <v>3417.5499072000007</v>
      </c>
      <c r="AD88" s="488">
        <f t="shared" si="57"/>
        <v>3566.1390336000013</v>
      </c>
      <c r="AE88" s="488">
        <f t="shared" si="57"/>
        <v>3714.728160000001</v>
      </c>
      <c r="AF88" s="488">
        <f t="shared" si="57"/>
        <v>3863.3172864000012</v>
      </c>
      <c r="AG88" s="488">
        <f t="shared" si="57"/>
        <v>4011.9064128000014</v>
      </c>
      <c r="AH88" s="488">
        <f t="shared" si="57"/>
        <v>4160.4955392000011</v>
      </c>
      <c r="AI88" s="488">
        <f t="shared" si="57"/>
        <v>4309.0846656000012</v>
      </c>
      <c r="AJ88" s="488">
        <f t="shared" si="57"/>
        <v>4457.6737920000023</v>
      </c>
      <c r="AK88" s="488">
        <f t="shared" si="57"/>
        <v>4606.2629184000016</v>
      </c>
      <c r="AL88" s="488">
        <f t="shared" si="57"/>
        <v>4754.8520448000017</v>
      </c>
      <c r="AM88" s="488">
        <f t="shared" si="57"/>
        <v>4903.4411712000019</v>
      </c>
      <c r="AN88" s="488">
        <f t="shared" si="57"/>
        <v>5052.030297600003</v>
      </c>
      <c r="AO88" s="488">
        <f t="shared" si="57"/>
        <v>5200.6194240000023</v>
      </c>
      <c r="AP88" s="488">
        <f t="shared" si="57"/>
        <v>5349.2085504000024</v>
      </c>
      <c r="AQ88" s="488">
        <f t="shared" si="57"/>
        <v>5497.7976768000026</v>
      </c>
      <c r="AR88" s="488">
        <f t="shared" si="57"/>
        <v>5646.3868032000028</v>
      </c>
      <c r="AS88" s="488">
        <f t="shared" si="57"/>
        <v>5794.9759296000029</v>
      </c>
      <c r="AT88" s="488">
        <f t="shared" si="57"/>
        <v>5943.5650560000031</v>
      </c>
      <c r="AU88" s="488"/>
      <c r="AV88" s="488"/>
      <c r="AW88" s="715"/>
      <c r="AX88" s="509" t="str">
        <f>B86&amp;"-"&amp;C86&amp;"-"&amp;E88</f>
        <v>VOL-cassava-beans-No-till</v>
      </c>
    </row>
    <row r="89" spans="1:50" x14ac:dyDescent="0.2">
      <c r="A89" s="436"/>
      <c r="B89" s="962" t="str">
        <f t="shared" ref="B89:C89" si="58">B67</f>
        <v>LAC</v>
      </c>
      <c r="C89" s="951" t="str">
        <f t="shared" si="58"/>
        <v>wheat</v>
      </c>
      <c r="D89" s="467">
        <f>D67</f>
        <v>2309</v>
      </c>
      <c r="E89" s="474" t="str">
        <f t="shared" si="39"/>
        <v>Full till</v>
      </c>
      <c r="F89" s="488">
        <f t="shared" ref="F89:AT89" si="59">_xlfn.XLOOKUP($AX89,$AX$24:$AX$41,$I$24:$I$41,"ERROR")*(F67*$D$67)</f>
        <v>38343.253999999994</v>
      </c>
      <c r="G89" s="488">
        <f t="shared" si="59"/>
        <v>38151.537729999996</v>
      </c>
      <c r="H89" s="488">
        <f t="shared" si="59"/>
        <v>37959.821459999992</v>
      </c>
      <c r="I89" s="488">
        <f t="shared" si="59"/>
        <v>37768.105189999995</v>
      </c>
      <c r="J89" s="488">
        <f t="shared" si="59"/>
        <v>37576.388919999998</v>
      </c>
      <c r="K89" s="488">
        <f t="shared" si="59"/>
        <v>37384.67265</v>
      </c>
      <c r="L89" s="488">
        <f t="shared" si="59"/>
        <v>37192.956379999996</v>
      </c>
      <c r="M89" s="488">
        <f t="shared" si="59"/>
        <v>37001.240109999992</v>
      </c>
      <c r="N89" s="488">
        <f t="shared" si="59"/>
        <v>36809.523839999994</v>
      </c>
      <c r="O89" s="488">
        <f t="shared" si="59"/>
        <v>36617.80756999999</v>
      </c>
      <c r="P89" s="488">
        <f t="shared" si="59"/>
        <v>36426.091299999993</v>
      </c>
      <c r="Q89" s="488">
        <f t="shared" si="59"/>
        <v>36234.375029999996</v>
      </c>
      <c r="R89" s="488">
        <f t="shared" si="59"/>
        <v>36042.658759999998</v>
      </c>
      <c r="S89" s="488">
        <f t="shared" si="59"/>
        <v>35850.942489999994</v>
      </c>
      <c r="T89" s="488">
        <f t="shared" si="59"/>
        <v>35659.226219999997</v>
      </c>
      <c r="U89" s="488">
        <f t="shared" si="59"/>
        <v>35467.50995</v>
      </c>
      <c r="V89" s="488">
        <f t="shared" si="59"/>
        <v>35275.793680000002</v>
      </c>
      <c r="W89" s="488">
        <f t="shared" si="59"/>
        <v>35084.077409999998</v>
      </c>
      <c r="X89" s="488">
        <f t="shared" si="59"/>
        <v>34892.361139999994</v>
      </c>
      <c r="Y89" s="488">
        <f t="shared" si="59"/>
        <v>34700.644869999996</v>
      </c>
      <c r="Z89" s="488">
        <f t="shared" si="59"/>
        <v>34508.928599999992</v>
      </c>
      <c r="AA89" s="488">
        <f t="shared" si="59"/>
        <v>34317.212329999995</v>
      </c>
      <c r="AB89" s="488">
        <f t="shared" si="59"/>
        <v>34125.496059999998</v>
      </c>
      <c r="AC89" s="488">
        <f t="shared" si="59"/>
        <v>33933.779789999993</v>
      </c>
      <c r="AD89" s="488">
        <f t="shared" si="59"/>
        <v>33742.063519999996</v>
      </c>
      <c r="AE89" s="488">
        <f t="shared" si="59"/>
        <v>33550.347249999999</v>
      </c>
      <c r="AF89" s="488">
        <f t="shared" si="59"/>
        <v>33358.630979999994</v>
      </c>
      <c r="AG89" s="488">
        <f t="shared" si="59"/>
        <v>33166.914709999997</v>
      </c>
      <c r="AH89" s="488">
        <f t="shared" si="59"/>
        <v>32975.198439999993</v>
      </c>
      <c r="AI89" s="488">
        <f t="shared" si="59"/>
        <v>32783.482169999996</v>
      </c>
      <c r="AJ89" s="488">
        <f t="shared" si="59"/>
        <v>32591.765899999995</v>
      </c>
      <c r="AK89" s="488">
        <f t="shared" si="59"/>
        <v>32400.049629999998</v>
      </c>
      <c r="AL89" s="488">
        <f t="shared" si="59"/>
        <v>32208.333359999997</v>
      </c>
      <c r="AM89" s="488">
        <f t="shared" si="59"/>
        <v>32016.617089999992</v>
      </c>
      <c r="AN89" s="488">
        <f t="shared" si="59"/>
        <v>31824.900819999992</v>
      </c>
      <c r="AO89" s="488">
        <f t="shared" si="59"/>
        <v>31633.184549999994</v>
      </c>
      <c r="AP89" s="488">
        <f t="shared" si="59"/>
        <v>31441.468279999994</v>
      </c>
      <c r="AQ89" s="488">
        <f t="shared" si="59"/>
        <v>31249.752009999993</v>
      </c>
      <c r="AR89" s="488">
        <f t="shared" si="59"/>
        <v>31058.035739999996</v>
      </c>
      <c r="AS89" s="488">
        <f t="shared" si="59"/>
        <v>30866.319469999995</v>
      </c>
      <c r="AT89" s="488">
        <f t="shared" si="59"/>
        <v>30674.603199999994</v>
      </c>
      <c r="AU89" s="488"/>
      <c r="AV89" s="488"/>
      <c r="AW89" s="715"/>
      <c r="AX89" s="509" t="str">
        <f>B89&amp;"-"&amp;C89&amp;"-"&amp;E89</f>
        <v>LAC-wheat-Full till</v>
      </c>
    </row>
    <row r="90" spans="1:50" x14ac:dyDescent="0.2">
      <c r="A90" s="436"/>
      <c r="B90" s="962"/>
      <c r="C90" s="951"/>
      <c r="D90" s="467"/>
      <c r="E90" s="474" t="str">
        <f t="shared" si="39"/>
        <v>Reduced till</v>
      </c>
      <c r="F90" s="488">
        <f t="shared" ref="F90:AT90" si="60">_xlfn.XLOOKUP($AX90,$AX$24:$AX$41,$I$24:$I$41,"ERROR")*(F68*$D$67)</f>
        <v>0</v>
      </c>
      <c r="G90" s="488">
        <f t="shared" si="60"/>
        <v>103.89003768000001</v>
      </c>
      <c r="H90" s="488">
        <f t="shared" si="60"/>
        <v>207.78007536000001</v>
      </c>
      <c r="I90" s="488">
        <f t="shared" si="60"/>
        <v>311.67011303999999</v>
      </c>
      <c r="J90" s="488">
        <f t="shared" si="60"/>
        <v>415.56015072000002</v>
      </c>
      <c r="K90" s="488">
        <f t="shared" si="60"/>
        <v>519.4501884</v>
      </c>
      <c r="L90" s="488">
        <f t="shared" si="60"/>
        <v>623.34022608000009</v>
      </c>
      <c r="M90" s="488">
        <f t="shared" si="60"/>
        <v>727.23026376000007</v>
      </c>
      <c r="N90" s="488">
        <f t="shared" si="60"/>
        <v>831.12030144000005</v>
      </c>
      <c r="O90" s="488">
        <f t="shared" si="60"/>
        <v>935.01033912000003</v>
      </c>
      <c r="P90" s="488">
        <f t="shared" si="60"/>
        <v>1038.9003768</v>
      </c>
      <c r="Q90" s="488">
        <f t="shared" si="60"/>
        <v>1142.79041448</v>
      </c>
      <c r="R90" s="488">
        <f t="shared" si="60"/>
        <v>1246.68045216</v>
      </c>
      <c r="S90" s="488">
        <f t="shared" si="60"/>
        <v>1350.5704898399997</v>
      </c>
      <c r="T90" s="488">
        <f t="shared" si="60"/>
        <v>1454.4605275199999</v>
      </c>
      <c r="U90" s="488">
        <f t="shared" si="60"/>
        <v>1558.3505651999999</v>
      </c>
      <c r="V90" s="488">
        <f t="shared" si="60"/>
        <v>1662.2406028800001</v>
      </c>
      <c r="W90" s="488">
        <f t="shared" si="60"/>
        <v>1766.1306405600001</v>
      </c>
      <c r="X90" s="488">
        <f t="shared" si="60"/>
        <v>1870.0206782400003</v>
      </c>
      <c r="Y90" s="488">
        <f t="shared" si="60"/>
        <v>1973.9107159200005</v>
      </c>
      <c r="Z90" s="488">
        <f t="shared" si="60"/>
        <v>2077.8007536000005</v>
      </c>
      <c r="AA90" s="488">
        <f t="shared" si="60"/>
        <v>2181.6907912800007</v>
      </c>
      <c r="AB90" s="488">
        <f t="shared" si="60"/>
        <v>2285.5808289600004</v>
      </c>
      <c r="AC90" s="488">
        <f t="shared" si="60"/>
        <v>2389.4708666400006</v>
      </c>
      <c r="AD90" s="488">
        <f t="shared" si="60"/>
        <v>2493.3609043200008</v>
      </c>
      <c r="AE90" s="488">
        <f t="shared" si="60"/>
        <v>2597.2509420000006</v>
      </c>
      <c r="AF90" s="488">
        <f t="shared" si="60"/>
        <v>2701.1409796800008</v>
      </c>
      <c r="AG90" s="488">
        <f t="shared" si="60"/>
        <v>2805.031017360001</v>
      </c>
      <c r="AH90" s="488">
        <f t="shared" si="60"/>
        <v>2908.9210550400007</v>
      </c>
      <c r="AI90" s="488">
        <f t="shared" si="60"/>
        <v>3012.8110927200009</v>
      </c>
      <c r="AJ90" s="488">
        <f t="shared" si="60"/>
        <v>3116.7011304000011</v>
      </c>
      <c r="AK90" s="488">
        <f t="shared" si="60"/>
        <v>3220.5911680800014</v>
      </c>
      <c r="AL90" s="488">
        <f t="shared" si="60"/>
        <v>3324.4812057600011</v>
      </c>
      <c r="AM90" s="488">
        <f t="shared" si="60"/>
        <v>3428.3712434400013</v>
      </c>
      <c r="AN90" s="488">
        <f t="shared" si="60"/>
        <v>3532.2612811200015</v>
      </c>
      <c r="AO90" s="488">
        <f t="shared" si="60"/>
        <v>3636.1513188000013</v>
      </c>
      <c r="AP90" s="488">
        <f t="shared" si="60"/>
        <v>3740.0413564800015</v>
      </c>
      <c r="AQ90" s="488">
        <f t="shared" si="60"/>
        <v>3843.9313941600017</v>
      </c>
      <c r="AR90" s="488">
        <f t="shared" si="60"/>
        <v>3947.8214318400019</v>
      </c>
      <c r="AS90" s="488">
        <f t="shared" si="60"/>
        <v>4051.7114695200021</v>
      </c>
      <c r="AT90" s="488">
        <f t="shared" si="60"/>
        <v>4155.6015072000018</v>
      </c>
      <c r="AU90" s="488"/>
      <c r="AV90" s="488"/>
      <c r="AW90" s="715"/>
      <c r="AX90" s="509" t="str">
        <f>B89&amp;"-"&amp;C89&amp;"-"&amp;E90</f>
        <v>LAC-wheat-Reduced till</v>
      </c>
    </row>
    <row r="91" spans="1:50" x14ac:dyDescent="0.2">
      <c r="A91" s="436"/>
      <c r="B91" s="962"/>
      <c r="C91" s="951"/>
      <c r="D91" s="467"/>
      <c r="E91" s="474" t="str">
        <f t="shared" si="39"/>
        <v>No-till</v>
      </c>
      <c r="F91" s="488">
        <f t="shared" ref="F91:AT91" si="61">_xlfn.XLOOKUP($AX91,$AX$24:$AX$41,$I$24:$I$41,"ERROR")*(F69*$D$67)</f>
        <v>0</v>
      </c>
      <c r="G91" s="488">
        <f t="shared" si="61"/>
        <v>109.13700928000003</v>
      </c>
      <c r="H91" s="488">
        <f t="shared" si="61"/>
        <v>218.27401856000006</v>
      </c>
      <c r="I91" s="488">
        <f t="shared" si="61"/>
        <v>327.41102784000003</v>
      </c>
      <c r="J91" s="488">
        <f t="shared" si="61"/>
        <v>436.54803712000012</v>
      </c>
      <c r="K91" s="488">
        <f t="shared" si="61"/>
        <v>545.68504640000015</v>
      </c>
      <c r="L91" s="488">
        <f t="shared" si="61"/>
        <v>654.82205568000029</v>
      </c>
      <c r="M91" s="488">
        <f t="shared" si="61"/>
        <v>763.95906496000032</v>
      </c>
      <c r="N91" s="488">
        <f t="shared" si="61"/>
        <v>873.09607424000023</v>
      </c>
      <c r="O91" s="488">
        <f t="shared" si="61"/>
        <v>982.23308352000026</v>
      </c>
      <c r="P91" s="488">
        <f t="shared" si="61"/>
        <v>1091.3700928000001</v>
      </c>
      <c r="Q91" s="488">
        <f t="shared" si="61"/>
        <v>1200.5071020800001</v>
      </c>
      <c r="R91" s="488">
        <f t="shared" si="61"/>
        <v>1309.6441113600001</v>
      </c>
      <c r="S91" s="488">
        <f t="shared" si="61"/>
        <v>1418.7811206400002</v>
      </c>
      <c r="T91" s="488">
        <f t="shared" si="61"/>
        <v>1527.9181299200002</v>
      </c>
      <c r="U91" s="488">
        <f t="shared" si="61"/>
        <v>1637.0551392000002</v>
      </c>
      <c r="V91" s="488">
        <f t="shared" si="61"/>
        <v>1746.1921484800005</v>
      </c>
      <c r="W91" s="488">
        <f t="shared" si="61"/>
        <v>1855.3291577600005</v>
      </c>
      <c r="X91" s="488">
        <f t="shared" si="61"/>
        <v>1964.4661670400008</v>
      </c>
      <c r="Y91" s="488">
        <f t="shared" si="61"/>
        <v>2073.6031763200008</v>
      </c>
      <c r="Z91" s="488">
        <f t="shared" si="61"/>
        <v>2182.7401856000006</v>
      </c>
      <c r="AA91" s="488">
        <f t="shared" si="61"/>
        <v>2291.8771948800008</v>
      </c>
      <c r="AB91" s="488">
        <f t="shared" si="61"/>
        <v>2401.0142041600011</v>
      </c>
      <c r="AC91" s="488">
        <f t="shared" si="61"/>
        <v>2510.1512134400014</v>
      </c>
      <c r="AD91" s="488">
        <f t="shared" si="61"/>
        <v>2619.2882227200016</v>
      </c>
      <c r="AE91" s="488">
        <f t="shared" si="61"/>
        <v>2728.425232000001</v>
      </c>
      <c r="AF91" s="488">
        <f t="shared" si="61"/>
        <v>2837.5622412800012</v>
      </c>
      <c r="AG91" s="488">
        <f t="shared" si="61"/>
        <v>2946.6992505600015</v>
      </c>
      <c r="AH91" s="488">
        <f t="shared" si="61"/>
        <v>3055.8362598400017</v>
      </c>
      <c r="AI91" s="488">
        <f t="shared" si="61"/>
        <v>3164.973269120002</v>
      </c>
      <c r="AJ91" s="488">
        <f t="shared" si="61"/>
        <v>3274.1102784000018</v>
      </c>
      <c r="AK91" s="488">
        <f t="shared" si="61"/>
        <v>3383.247287680002</v>
      </c>
      <c r="AL91" s="488">
        <f t="shared" si="61"/>
        <v>3492.3842969600018</v>
      </c>
      <c r="AM91" s="488">
        <f t="shared" si="61"/>
        <v>3601.5213062400021</v>
      </c>
      <c r="AN91" s="488">
        <f t="shared" si="61"/>
        <v>3710.6583155200024</v>
      </c>
      <c r="AO91" s="488">
        <f t="shared" si="61"/>
        <v>3819.7953248000022</v>
      </c>
      <c r="AP91" s="488">
        <f t="shared" si="61"/>
        <v>3928.9323340800024</v>
      </c>
      <c r="AQ91" s="488">
        <f t="shared" si="61"/>
        <v>4038.0693433600027</v>
      </c>
      <c r="AR91" s="488">
        <f t="shared" si="61"/>
        <v>4147.2063526400025</v>
      </c>
      <c r="AS91" s="488">
        <f t="shared" si="61"/>
        <v>4256.3433619200032</v>
      </c>
      <c r="AT91" s="488">
        <f t="shared" si="61"/>
        <v>4365.480371200003</v>
      </c>
      <c r="AU91" s="488"/>
      <c r="AV91" s="488"/>
      <c r="AW91" s="715"/>
      <c r="AX91" s="509" t="str">
        <f>B89&amp;"-"&amp;C89&amp;"-"&amp;E91</f>
        <v>LAC-wheat-No-till</v>
      </c>
    </row>
    <row r="92" spans="1:50" s="489" customFormat="1" ht="17" thickBot="1" x14ac:dyDescent="0.25">
      <c r="A92" s="436"/>
      <c r="B92" s="718"/>
      <c r="C92" s="719"/>
      <c r="D92" s="719"/>
      <c r="E92" s="784" t="s">
        <v>420</v>
      </c>
      <c r="F92" s="785">
        <f>SUM(F74:F91)</f>
        <v>1202639.7319999998</v>
      </c>
      <c r="G92" s="785">
        <f t="shared" ref="G92:AT92" si="62">SUM(G74:G91)</f>
        <v>1203308.1465036799</v>
      </c>
      <c r="H92" s="785">
        <f t="shared" si="62"/>
        <v>1203976.56100736</v>
      </c>
      <c r="I92" s="785">
        <f t="shared" si="62"/>
        <v>1204644.9755110401</v>
      </c>
      <c r="J92" s="785">
        <f t="shared" si="62"/>
        <v>1205313.3900147197</v>
      </c>
      <c r="K92" s="785">
        <f t="shared" si="62"/>
        <v>1205981.8045184</v>
      </c>
      <c r="L92" s="785">
        <f t="shared" si="62"/>
        <v>1206650.2190220798</v>
      </c>
      <c r="M92" s="785">
        <f t="shared" si="62"/>
        <v>1207318.6335257594</v>
      </c>
      <c r="N92" s="785">
        <f t="shared" si="62"/>
        <v>1207987.0480294398</v>
      </c>
      <c r="O92" s="785">
        <f t="shared" si="62"/>
        <v>1208655.4625331198</v>
      </c>
      <c r="P92" s="785">
        <f t="shared" si="62"/>
        <v>1209323.8770367994</v>
      </c>
      <c r="Q92" s="785">
        <f t="shared" si="62"/>
        <v>1209992.2915404795</v>
      </c>
      <c r="R92" s="785">
        <f t="shared" si="62"/>
        <v>1210660.7060441601</v>
      </c>
      <c r="S92" s="785">
        <f t="shared" si="62"/>
        <v>1211329.1205478399</v>
      </c>
      <c r="T92" s="785">
        <f t="shared" si="62"/>
        <v>1211997.53505152</v>
      </c>
      <c r="U92" s="785">
        <f t="shared" si="62"/>
        <v>1212665.9495552003</v>
      </c>
      <c r="V92" s="785">
        <f t="shared" si="62"/>
        <v>1213334.3640588804</v>
      </c>
      <c r="W92" s="785">
        <f t="shared" si="62"/>
        <v>1214002.7785625602</v>
      </c>
      <c r="X92" s="785">
        <f t="shared" si="62"/>
        <v>1214671.1930662401</v>
      </c>
      <c r="Y92" s="785">
        <f t="shared" si="62"/>
        <v>1215339.6075699201</v>
      </c>
      <c r="Z92" s="785">
        <f t="shared" si="62"/>
        <v>1216008.0220736</v>
      </c>
      <c r="AA92" s="785">
        <f t="shared" si="62"/>
        <v>1216676.4365772798</v>
      </c>
      <c r="AB92" s="785">
        <f t="shared" si="62"/>
        <v>1217344.8510809604</v>
      </c>
      <c r="AC92" s="785">
        <f t="shared" si="62"/>
        <v>1218013.2655846402</v>
      </c>
      <c r="AD92" s="785">
        <f t="shared" si="62"/>
        <v>1218681.6800883198</v>
      </c>
      <c r="AE92" s="785">
        <f t="shared" si="62"/>
        <v>1219350.0945920001</v>
      </c>
      <c r="AF92" s="785">
        <f t="shared" si="62"/>
        <v>1220018.5090956795</v>
      </c>
      <c r="AG92" s="785">
        <f t="shared" si="62"/>
        <v>1220686.9235993598</v>
      </c>
      <c r="AH92" s="785">
        <f t="shared" si="62"/>
        <v>1221355.3381030399</v>
      </c>
      <c r="AI92" s="785">
        <f t="shared" si="62"/>
        <v>1222023.75260672</v>
      </c>
      <c r="AJ92" s="785">
        <f t="shared" si="62"/>
        <v>1222692.1671103996</v>
      </c>
      <c r="AK92" s="785">
        <f t="shared" si="62"/>
        <v>1223360.5816140799</v>
      </c>
      <c r="AL92" s="785">
        <f t="shared" si="62"/>
        <v>1224028.9961177602</v>
      </c>
      <c r="AM92" s="785">
        <f t="shared" si="62"/>
        <v>1224697.41062144</v>
      </c>
      <c r="AN92" s="785">
        <f t="shared" si="62"/>
        <v>1225365.8251251199</v>
      </c>
      <c r="AO92" s="785">
        <f t="shared" si="62"/>
        <v>1226034.2396287995</v>
      </c>
      <c r="AP92" s="785">
        <f t="shared" si="62"/>
        <v>1226702.6541324798</v>
      </c>
      <c r="AQ92" s="785">
        <f t="shared" si="62"/>
        <v>1227371.0686361601</v>
      </c>
      <c r="AR92" s="785">
        <f t="shared" si="62"/>
        <v>1228039.4831398397</v>
      </c>
      <c r="AS92" s="785">
        <f t="shared" si="62"/>
        <v>1228707.89764352</v>
      </c>
      <c r="AT92" s="785">
        <f t="shared" si="62"/>
        <v>1229376.3121471996</v>
      </c>
      <c r="AU92" s="720"/>
      <c r="AV92" s="719"/>
      <c r="AW92" s="721"/>
      <c r="AX92" s="510"/>
    </row>
    <row r="93" spans="1:50" ht="17" thickBot="1" x14ac:dyDescent="0.25">
      <c r="A93" s="436"/>
    </row>
    <row r="94" spans="1:50" x14ac:dyDescent="0.2">
      <c r="A94" s="779"/>
      <c r="B94" s="722" t="s">
        <v>421</v>
      </c>
      <c r="C94" s="722"/>
      <c r="D94" s="722"/>
      <c r="E94" s="722"/>
      <c r="F94" s="722"/>
      <c r="G94" s="701"/>
      <c r="H94" s="701"/>
      <c r="I94" s="701"/>
      <c r="J94" s="701"/>
      <c r="K94" s="701"/>
      <c r="L94" s="701"/>
      <c r="M94" s="701"/>
      <c r="N94" s="701"/>
      <c r="O94" s="701"/>
      <c r="P94" s="701"/>
      <c r="Q94" s="701"/>
      <c r="R94" s="701"/>
      <c r="S94" s="701"/>
      <c r="T94" s="701"/>
      <c r="U94" s="701"/>
      <c r="V94" s="701"/>
      <c r="W94" s="701"/>
      <c r="X94" s="701"/>
      <c r="Y94" s="701"/>
      <c r="Z94" s="701"/>
      <c r="AA94" s="701"/>
      <c r="AB94" s="701"/>
      <c r="AC94" s="701"/>
      <c r="AD94" s="701"/>
      <c r="AE94" s="701"/>
      <c r="AF94" s="701"/>
      <c r="AG94" s="701"/>
      <c r="AH94" s="701"/>
      <c r="AI94" s="701"/>
      <c r="AJ94" s="701"/>
      <c r="AK94" s="701"/>
      <c r="AL94" s="701"/>
      <c r="AM94" s="701"/>
      <c r="AN94" s="701"/>
      <c r="AO94" s="701"/>
      <c r="AP94" s="701"/>
      <c r="AQ94" s="701"/>
      <c r="AR94" s="701"/>
      <c r="AS94" s="701"/>
      <c r="AT94" s="701"/>
      <c r="AU94" s="701"/>
      <c r="AV94" s="701"/>
      <c r="AW94" s="702"/>
    </row>
    <row r="95" spans="1:50" ht="19" thickBot="1" x14ac:dyDescent="0.25">
      <c r="A95" s="779"/>
      <c r="B95" s="749"/>
      <c r="D95" s="776"/>
      <c r="E95" s="778"/>
      <c r="F95" s="777" t="s">
        <v>383</v>
      </c>
      <c r="G95" s="475" t="s">
        <v>384</v>
      </c>
      <c r="H95" s="475" t="s">
        <v>385</v>
      </c>
      <c r="I95" s="475" t="s">
        <v>386</v>
      </c>
      <c r="J95" s="475" t="s">
        <v>387</v>
      </c>
      <c r="K95" s="475" t="s">
        <v>388</v>
      </c>
      <c r="L95" s="475" t="s">
        <v>389</v>
      </c>
      <c r="M95" s="475" t="s">
        <v>390</v>
      </c>
      <c r="N95" s="475" t="s">
        <v>391</v>
      </c>
      <c r="O95" s="475" t="s">
        <v>392</v>
      </c>
      <c r="P95" s="475" t="s">
        <v>393</v>
      </c>
      <c r="Q95" s="475" t="s">
        <v>394</v>
      </c>
      <c r="R95" s="475" t="s">
        <v>395</v>
      </c>
      <c r="S95" s="475" t="s">
        <v>396</v>
      </c>
      <c r="T95" s="475" t="s">
        <v>397</v>
      </c>
      <c r="U95" s="475" t="s">
        <v>398</v>
      </c>
      <c r="V95" s="475" t="s">
        <v>399</v>
      </c>
      <c r="W95" s="475" t="s">
        <v>400</v>
      </c>
      <c r="X95" s="475" t="s">
        <v>401</v>
      </c>
      <c r="Y95" s="475" t="s">
        <v>402</v>
      </c>
      <c r="Z95" s="475" t="s">
        <v>120</v>
      </c>
      <c r="AA95" s="475" t="s">
        <v>146</v>
      </c>
      <c r="AB95" s="475" t="s">
        <v>147</v>
      </c>
      <c r="AC95" s="475" t="s">
        <v>148</v>
      </c>
      <c r="AD95" s="475" t="s">
        <v>149</v>
      </c>
      <c r="AE95" s="475" t="s">
        <v>150</v>
      </c>
      <c r="AF95" s="475" t="s">
        <v>151</v>
      </c>
      <c r="AG95" s="475" t="s">
        <v>152</v>
      </c>
      <c r="AH95" s="475" t="s">
        <v>153</v>
      </c>
      <c r="AI95" s="475" t="s">
        <v>154</v>
      </c>
      <c r="AJ95" s="475" t="s">
        <v>121</v>
      </c>
      <c r="AK95" s="475" t="s">
        <v>403</v>
      </c>
      <c r="AL95" s="475" t="s">
        <v>404</v>
      </c>
      <c r="AM95" s="475" t="s">
        <v>405</v>
      </c>
      <c r="AN95" s="475" t="s">
        <v>406</v>
      </c>
      <c r="AO95" s="475" t="s">
        <v>407</v>
      </c>
      <c r="AP95" s="475" t="s">
        <v>408</v>
      </c>
      <c r="AQ95" s="475" t="s">
        <v>409</v>
      </c>
      <c r="AR95" s="475" t="s">
        <v>410</v>
      </c>
      <c r="AS95" s="475" t="s">
        <v>411</v>
      </c>
      <c r="AT95" s="475" t="s">
        <v>412</v>
      </c>
      <c r="AU95" s="475"/>
      <c r="AV95" s="475"/>
      <c r="AW95" s="714" t="s">
        <v>155</v>
      </c>
    </row>
    <row r="96" spans="1:50" x14ac:dyDescent="0.2">
      <c r="A96" s="779"/>
      <c r="B96" s="781" t="str">
        <f>B73</f>
        <v>Soil</v>
      </c>
      <c r="C96" s="477" t="s">
        <v>370</v>
      </c>
      <c r="D96" s="774" t="s">
        <v>414</v>
      </c>
      <c r="E96" s="478" t="s">
        <v>415</v>
      </c>
      <c r="F96" s="477">
        <v>2000</v>
      </c>
      <c r="G96" s="477">
        <v>2001</v>
      </c>
      <c r="H96" s="477">
        <v>2002</v>
      </c>
      <c r="I96" s="477">
        <v>2003</v>
      </c>
      <c r="J96" s="477">
        <v>2004</v>
      </c>
      <c r="K96" s="477">
        <v>2005</v>
      </c>
      <c r="L96" s="477">
        <v>2006</v>
      </c>
      <c r="M96" s="477">
        <v>2007</v>
      </c>
      <c r="N96" s="477">
        <v>2008</v>
      </c>
      <c r="O96" s="477">
        <v>2009</v>
      </c>
      <c r="P96" s="477">
        <v>2010</v>
      </c>
      <c r="Q96" s="477">
        <v>2011</v>
      </c>
      <c r="R96" s="477">
        <v>2012</v>
      </c>
      <c r="S96" s="477">
        <v>2013</v>
      </c>
      <c r="T96" s="477">
        <v>2014</v>
      </c>
      <c r="U96" s="477">
        <v>2015</v>
      </c>
      <c r="V96" s="477">
        <v>2016</v>
      </c>
      <c r="W96" s="477">
        <v>2017</v>
      </c>
      <c r="X96" s="477">
        <v>2018</v>
      </c>
      <c r="Y96" s="477">
        <v>2019</v>
      </c>
      <c r="Z96" s="477">
        <v>2020</v>
      </c>
      <c r="AA96" s="477">
        <v>2021</v>
      </c>
      <c r="AB96" s="477">
        <v>2022</v>
      </c>
      <c r="AC96" s="477">
        <v>2023</v>
      </c>
      <c r="AD96" s="477">
        <v>2024</v>
      </c>
      <c r="AE96" s="477">
        <v>2025</v>
      </c>
      <c r="AF96" s="477">
        <v>2026</v>
      </c>
      <c r="AG96" s="477">
        <v>2027</v>
      </c>
      <c r="AH96" s="477">
        <v>2028</v>
      </c>
      <c r="AI96" s="477">
        <v>2029</v>
      </c>
      <c r="AJ96" s="477">
        <v>2030</v>
      </c>
      <c r="AK96" s="477">
        <v>2031</v>
      </c>
      <c r="AL96" s="477">
        <v>2032</v>
      </c>
      <c r="AM96" s="477">
        <v>2033</v>
      </c>
      <c r="AN96" s="477">
        <v>2034</v>
      </c>
      <c r="AO96" s="477">
        <v>2035</v>
      </c>
      <c r="AP96" s="477">
        <v>2036</v>
      </c>
      <c r="AQ96" s="477">
        <v>2037</v>
      </c>
      <c r="AR96" s="477">
        <v>2038</v>
      </c>
      <c r="AS96" s="477">
        <v>2039</v>
      </c>
      <c r="AT96" s="477">
        <v>2040</v>
      </c>
      <c r="AU96" s="477"/>
      <c r="AV96" s="477"/>
      <c r="AW96" s="715"/>
    </row>
    <row r="97" spans="1:50" x14ac:dyDescent="0.2">
      <c r="A97" s="436"/>
      <c r="B97" s="962" t="str">
        <f>B74</f>
        <v>HAC</v>
      </c>
      <c r="C97" s="951" t="str">
        <f>C74</f>
        <v>corn-soy-alfalfa-alfalfa</v>
      </c>
      <c r="D97" s="467">
        <f>D74</f>
        <v>23738.289999999997</v>
      </c>
      <c r="E97" s="474" t="str">
        <f>E74</f>
        <v>Full till</v>
      </c>
      <c r="F97" s="488">
        <f t="shared" ref="F97:Z97" si="63">$F74</f>
        <v>435692.57465999993</v>
      </c>
      <c r="G97" s="488">
        <f t="shared" si="63"/>
        <v>435692.57465999993</v>
      </c>
      <c r="H97" s="488">
        <f t="shared" si="63"/>
        <v>435692.57465999993</v>
      </c>
      <c r="I97" s="488">
        <f t="shared" si="63"/>
        <v>435692.57465999993</v>
      </c>
      <c r="J97" s="488">
        <f t="shared" si="63"/>
        <v>435692.57465999993</v>
      </c>
      <c r="K97" s="488">
        <f t="shared" si="63"/>
        <v>435692.57465999993</v>
      </c>
      <c r="L97" s="488">
        <f t="shared" si="63"/>
        <v>435692.57465999993</v>
      </c>
      <c r="M97" s="488">
        <f t="shared" si="63"/>
        <v>435692.57465999993</v>
      </c>
      <c r="N97" s="488">
        <f t="shared" si="63"/>
        <v>435692.57465999993</v>
      </c>
      <c r="O97" s="488">
        <f t="shared" si="63"/>
        <v>435692.57465999993</v>
      </c>
      <c r="P97" s="488">
        <f t="shared" si="63"/>
        <v>435692.57465999993</v>
      </c>
      <c r="Q97" s="488">
        <f t="shared" si="63"/>
        <v>435692.57465999993</v>
      </c>
      <c r="R97" s="488">
        <f t="shared" si="63"/>
        <v>435692.57465999993</v>
      </c>
      <c r="S97" s="488">
        <f t="shared" si="63"/>
        <v>435692.57465999993</v>
      </c>
      <c r="T97" s="488">
        <f t="shared" si="63"/>
        <v>435692.57465999993</v>
      </c>
      <c r="U97" s="488">
        <f t="shared" si="63"/>
        <v>435692.57465999993</v>
      </c>
      <c r="V97" s="488">
        <f t="shared" si="63"/>
        <v>435692.57465999993</v>
      </c>
      <c r="W97" s="488">
        <f t="shared" si="63"/>
        <v>435692.57465999993</v>
      </c>
      <c r="X97" s="488">
        <f t="shared" si="63"/>
        <v>435692.57465999993</v>
      </c>
      <c r="Y97" s="488">
        <f t="shared" si="63"/>
        <v>435692.57465999993</v>
      </c>
      <c r="Z97" s="488">
        <f t="shared" si="63"/>
        <v>435692.57465999993</v>
      </c>
      <c r="AA97" s="488">
        <f t="shared" ref="AA97:AA114" si="64">G74</f>
        <v>433514.11178669997</v>
      </c>
      <c r="AB97" s="488">
        <f t="shared" ref="AB97:AB114" si="65">H74</f>
        <v>431335.6489133999</v>
      </c>
      <c r="AC97" s="488">
        <f t="shared" ref="AC97:AC114" si="66">I74</f>
        <v>429157.18604009994</v>
      </c>
      <c r="AD97" s="488">
        <f t="shared" ref="AD97:AD114" si="67">J74</f>
        <v>426978.72316679993</v>
      </c>
      <c r="AE97" s="488">
        <f t="shared" ref="AE97:AE114" si="68">K74</f>
        <v>424800.26029349992</v>
      </c>
      <c r="AF97" s="488">
        <f t="shared" ref="AF97:AF114" si="69">L74</f>
        <v>422621.7974201999</v>
      </c>
      <c r="AG97" s="488">
        <f t="shared" ref="AG97:AG114" si="70">M74</f>
        <v>420443.33454689995</v>
      </c>
      <c r="AH97" s="488">
        <f t="shared" ref="AH97:AH114" si="71">N74</f>
        <v>418264.87167359988</v>
      </c>
      <c r="AI97" s="488">
        <f t="shared" ref="AI97:AI114" si="72">O74</f>
        <v>416086.40880029992</v>
      </c>
      <c r="AJ97" s="488">
        <f t="shared" ref="AJ97:AJ114" si="73">P74</f>
        <v>413907.94592699991</v>
      </c>
      <c r="AK97" s="488">
        <f t="shared" ref="AK97:AK114" si="74">Q74</f>
        <v>411729.48305369995</v>
      </c>
      <c r="AL97" s="488">
        <f t="shared" ref="AL97:AL114" si="75">R74</f>
        <v>409551.02018039994</v>
      </c>
      <c r="AM97" s="488">
        <f t="shared" ref="AM97:AM114" si="76">S74</f>
        <v>407372.55730709998</v>
      </c>
      <c r="AN97" s="488">
        <f t="shared" ref="AN97:AN114" si="77">T74</f>
        <v>405194.09443379991</v>
      </c>
      <c r="AO97" s="488">
        <f t="shared" ref="AO97:AO114" si="78">U74</f>
        <v>403015.63156049995</v>
      </c>
      <c r="AP97" s="488">
        <f t="shared" ref="AP97:AP114" si="79">V74</f>
        <v>400837.16868719994</v>
      </c>
      <c r="AQ97" s="488">
        <f t="shared" ref="AQ97:AQ114" si="80">W74</f>
        <v>398658.70581389993</v>
      </c>
      <c r="AR97" s="488">
        <f t="shared" ref="AR97:AR114" si="81">X74</f>
        <v>396480.24294059997</v>
      </c>
      <c r="AS97" s="488">
        <f t="shared" ref="AS97:AS114" si="82">Y74</f>
        <v>394301.78006729996</v>
      </c>
      <c r="AT97" s="488">
        <f t="shared" ref="AT97:AT114" si="83">Z74</f>
        <v>392123.31719399994</v>
      </c>
      <c r="AU97" s="488"/>
      <c r="AV97" s="488"/>
      <c r="AW97" s="716"/>
      <c r="AX97" s="509" t="str">
        <f>B97&amp;"-"&amp;C97&amp;"-"&amp;E97</f>
        <v>HAC-corn-soy-alfalfa-alfalfa-Full till</v>
      </c>
    </row>
    <row r="98" spans="1:50" x14ac:dyDescent="0.2">
      <c r="A98" s="436"/>
      <c r="B98" s="962"/>
      <c r="C98" s="951"/>
      <c r="D98" s="467"/>
      <c r="E98" s="474" t="str">
        <f t="shared" ref="E98:E114" si="84">E75</f>
        <v>Reduced till</v>
      </c>
      <c r="F98" s="488">
        <f t="shared" ref="F98:Z98" si="85">$F75</f>
        <v>0</v>
      </c>
      <c r="G98" s="488">
        <f t="shared" si="85"/>
        <v>0</v>
      </c>
      <c r="H98" s="488">
        <f t="shared" si="85"/>
        <v>0</v>
      </c>
      <c r="I98" s="488">
        <f t="shared" si="85"/>
        <v>0</v>
      </c>
      <c r="J98" s="488">
        <f t="shared" si="85"/>
        <v>0</v>
      </c>
      <c r="K98" s="488">
        <f t="shared" si="85"/>
        <v>0</v>
      </c>
      <c r="L98" s="488">
        <f t="shared" si="85"/>
        <v>0</v>
      </c>
      <c r="M98" s="488">
        <f t="shared" si="85"/>
        <v>0</v>
      </c>
      <c r="N98" s="488">
        <f t="shared" si="85"/>
        <v>0</v>
      </c>
      <c r="O98" s="488">
        <f t="shared" si="85"/>
        <v>0</v>
      </c>
      <c r="P98" s="488">
        <f t="shared" si="85"/>
        <v>0</v>
      </c>
      <c r="Q98" s="488">
        <f t="shared" si="85"/>
        <v>0</v>
      </c>
      <c r="R98" s="488">
        <f t="shared" si="85"/>
        <v>0</v>
      </c>
      <c r="S98" s="488">
        <f t="shared" si="85"/>
        <v>0</v>
      </c>
      <c r="T98" s="488">
        <f t="shared" si="85"/>
        <v>0</v>
      </c>
      <c r="U98" s="488">
        <f t="shared" si="85"/>
        <v>0</v>
      </c>
      <c r="V98" s="488">
        <f t="shared" si="85"/>
        <v>0</v>
      </c>
      <c r="W98" s="488">
        <f t="shared" si="85"/>
        <v>0</v>
      </c>
      <c r="X98" s="488">
        <f t="shared" si="85"/>
        <v>0</v>
      </c>
      <c r="Y98" s="488">
        <f t="shared" si="85"/>
        <v>0</v>
      </c>
      <c r="Z98" s="488">
        <f t="shared" si="85"/>
        <v>0</v>
      </c>
      <c r="AA98" s="488">
        <f t="shared" si="64"/>
        <v>1180.4975654471998</v>
      </c>
      <c r="AB98" s="488">
        <f t="shared" si="65"/>
        <v>2360.9951308943996</v>
      </c>
      <c r="AC98" s="488">
        <f t="shared" si="66"/>
        <v>3541.4926963415992</v>
      </c>
      <c r="AD98" s="488">
        <f t="shared" si="67"/>
        <v>4721.9902617887992</v>
      </c>
      <c r="AE98" s="488">
        <f t="shared" si="68"/>
        <v>5902.4878272359992</v>
      </c>
      <c r="AF98" s="488">
        <f t="shared" si="69"/>
        <v>7082.9853926831993</v>
      </c>
      <c r="AG98" s="488">
        <f t="shared" si="70"/>
        <v>8263.4829581304002</v>
      </c>
      <c r="AH98" s="488">
        <f t="shared" si="71"/>
        <v>9443.9805235775984</v>
      </c>
      <c r="AI98" s="488">
        <f t="shared" si="72"/>
        <v>10624.478089024798</v>
      </c>
      <c r="AJ98" s="488">
        <f t="shared" si="73"/>
        <v>11804.975654471998</v>
      </c>
      <c r="AK98" s="488">
        <f t="shared" si="74"/>
        <v>12985.473219919197</v>
      </c>
      <c r="AL98" s="488">
        <f t="shared" si="75"/>
        <v>14165.970785366397</v>
      </c>
      <c r="AM98" s="488">
        <f t="shared" si="76"/>
        <v>15346.468350813595</v>
      </c>
      <c r="AN98" s="488">
        <f t="shared" si="77"/>
        <v>16526.965916260793</v>
      </c>
      <c r="AO98" s="488">
        <f t="shared" si="78"/>
        <v>17707.463481707997</v>
      </c>
      <c r="AP98" s="488">
        <f t="shared" si="79"/>
        <v>18887.961047155197</v>
      </c>
      <c r="AQ98" s="488">
        <f t="shared" si="80"/>
        <v>20068.458612602397</v>
      </c>
      <c r="AR98" s="488">
        <f t="shared" si="81"/>
        <v>21248.956178049601</v>
      </c>
      <c r="AS98" s="488">
        <f t="shared" si="82"/>
        <v>22429.453743496797</v>
      </c>
      <c r="AT98" s="488">
        <f t="shared" si="83"/>
        <v>23609.951308944001</v>
      </c>
      <c r="AU98" s="488"/>
      <c r="AV98" s="488"/>
      <c r="AW98" s="715"/>
      <c r="AX98" s="509" t="str">
        <f>B97&amp;"-"&amp;C97&amp;"-"&amp;E98</f>
        <v>HAC-corn-soy-alfalfa-alfalfa-Reduced till</v>
      </c>
    </row>
    <row r="99" spans="1:50" x14ac:dyDescent="0.2">
      <c r="A99" s="436"/>
      <c r="B99" s="962"/>
      <c r="C99" s="951"/>
      <c r="D99" s="467"/>
      <c r="E99" s="474" t="str">
        <f t="shared" si="84"/>
        <v>No-till</v>
      </c>
      <c r="F99" s="488">
        <f t="shared" ref="F99:Z99" si="86">$F76</f>
        <v>0</v>
      </c>
      <c r="G99" s="488">
        <f t="shared" si="86"/>
        <v>0</v>
      </c>
      <c r="H99" s="488">
        <f t="shared" si="86"/>
        <v>0</v>
      </c>
      <c r="I99" s="488">
        <f t="shared" si="86"/>
        <v>0</v>
      </c>
      <c r="J99" s="488">
        <f t="shared" si="86"/>
        <v>0</v>
      </c>
      <c r="K99" s="488">
        <f t="shared" si="86"/>
        <v>0</v>
      </c>
      <c r="L99" s="488">
        <f t="shared" si="86"/>
        <v>0</v>
      </c>
      <c r="M99" s="488">
        <f t="shared" si="86"/>
        <v>0</v>
      </c>
      <c r="N99" s="488">
        <f t="shared" si="86"/>
        <v>0</v>
      </c>
      <c r="O99" s="488">
        <f t="shared" si="86"/>
        <v>0</v>
      </c>
      <c r="P99" s="488">
        <f t="shared" si="86"/>
        <v>0</v>
      </c>
      <c r="Q99" s="488">
        <f t="shared" si="86"/>
        <v>0</v>
      </c>
      <c r="R99" s="488">
        <f t="shared" si="86"/>
        <v>0</v>
      </c>
      <c r="S99" s="488">
        <f t="shared" si="86"/>
        <v>0</v>
      </c>
      <c r="T99" s="488">
        <f t="shared" si="86"/>
        <v>0</v>
      </c>
      <c r="U99" s="488">
        <f t="shared" si="86"/>
        <v>0</v>
      </c>
      <c r="V99" s="488">
        <f t="shared" si="86"/>
        <v>0</v>
      </c>
      <c r="W99" s="488">
        <f t="shared" si="86"/>
        <v>0</v>
      </c>
      <c r="X99" s="488">
        <f t="shared" si="86"/>
        <v>0</v>
      </c>
      <c r="Y99" s="488">
        <f t="shared" si="86"/>
        <v>0</v>
      </c>
      <c r="Z99" s="488">
        <f t="shared" si="86"/>
        <v>0</v>
      </c>
      <c r="AA99" s="488">
        <f t="shared" si="64"/>
        <v>1240.1186546111999</v>
      </c>
      <c r="AB99" s="488">
        <f t="shared" si="65"/>
        <v>2480.2373092223997</v>
      </c>
      <c r="AC99" s="488">
        <f t="shared" si="66"/>
        <v>3720.3559638335996</v>
      </c>
      <c r="AD99" s="488">
        <f t="shared" si="67"/>
        <v>4960.4746184447995</v>
      </c>
      <c r="AE99" s="488">
        <f t="shared" si="68"/>
        <v>6200.5932730559998</v>
      </c>
      <c r="AF99" s="488">
        <f t="shared" si="69"/>
        <v>7440.7119276672001</v>
      </c>
      <c r="AG99" s="488">
        <f t="shared" si="70"/>
        <v>8680.8305822784005</v>
      </c>
      <c r="AH99" s="488">
        <f t="shared" si="71"/>
        <v>9920.949236889599</v>
      </c>
      <c r="AI99" s="488">
        <f t="shared" si="72"/>
        <v>11161.067891500799</v>
      </c>
      <c r="AJ99" s="488">
        <f t="shared" si="73"/>
        <v>12401.186546112</v>
      </c>
      <c r="AK99" s="488">
        <f t="shared" si="74"/>
        <v>13641.305200723198</v>
      </c>
      <c r="AL99" s="488">
        <f t="shared" si="75"/>
        <v>14881.423855334398</v>
      </c>
      <c r="AM99" s="488">
        <f t="shared" si="76"/>
        <v>16121.542509945595</v>
      </c>
      <c r="AN99" s="488">
        <f t="shared" si="77"/>
        <v>17361.661164556797</v>
      </c>
      <c r="AO99" s="488">
        <f t="shared" si="78"/>
        <v>18601.779819167998</v>
      </c>
      <c r="AP99" s="488">
        <f t="shared" si="79"/>
        <v>19841.898473779198</v>
      </c>
      <c r="AQ99" s="488">
        <f t="shared" si="80"/>
        <v>21082.017128390398</v>
      </c>
      <c r="AR99" s="488">
        <f t="shared" si="81"/>
        <v>22322.135783001602</v>
      </c>
      <c r="AS99" s="488">
        <f t="shared" si="82"/>
        <v>23562.254437612799</v>
      </c>
      <c r="AT99" s="488">
        <f t="shared" si="83"/>
        <v>24802.373092224003</v>
      </c>
      <c r="AU99" s="488"/>
      <c r="AV99" s="488"/>
      <c r="AW99" s="715"/>
      <c r="AX99" s="509" t="str">
        <f>B97&amp;"-"&amp;C97&amp;"-"&amp;E99</f>
        <v>HAC-corn-soy-alfalfa-alfalfa-No-till</v>
      </c>
    </row>
    <row r="100" spans="1:50" x14ac:dyDescent="0.2">
      <c r="A100" s="436"/>
      <c r="B100" s="962" t="str">
        <f t="shared" ref="B100:C100" si="87">B77</f>
        <v>HAC</v>
      </c>
      <c r="C100" s="951" t="str">
        <f t="shared" si="87"/>
        <v>wheat</v>
      </c>
      <c r="D100" s="467">
        <f>D77</f>
        <v>18182.52</v>
      </c>
      <c r="E100" s="474" t="str">
        <f t="shared" si="84"/>
        <v>Full till</v>
      </c>
      <c r="F100" s="488">
        <f t="shared" ref="F100:Z100" si="88">$F77</f>
        <v>333721.97207999998</v>
      </c>
      <c r="G100" s="488">
        <f t="shared" si="88"/>
        <v>333721.97207999998</v>
      </c>
      <c r="H100" s="488">
        <f t="shared" si="88"/>
        <v>333721.97207999998</v>
      </c>
      <c r="I100" s="488">
        <f t="shared" si="88"/>
        <v>333721.97207999998</v>
      </c>
      <c r="J100" s="488">
        <f t="shared" si="88"/>
        <v>333721.97207999998</v>
      </c>
      <c r="K100" s="488">
        <f t="shared" si="88"/>
        <v>333721.97207999998</v>
      </c>
      <c r="L100" s="488">
        <f t="shared" si="88"/>
        <v>333721.97207999998</v>
      </c>
      <c r="M100" s="488">
        <f t="shared" si="88"/>
        <v>333721.97207999998</v>
      </c>
      <c r="N100" s="488">
        <f t="shared" si="88"/>
        <v>333721.97207999998</v>
      </c>
      <c r="O100" s="488">
        <f t="shared" si="88"/>
        <v>333721.97207999998</v>
      </c>
      <c r="P100" s="488">
        <f t="shared" si="88"/>
        <v>333721.97207999998</v>
      </c>
      <c r="Q100" s="488">
        <f t="shared" si="88"/>
        <v>333721.97207999998</v>
      </c>
      <c r="R100" s="488">
        <f t="shared" si="88"/>
        <v>333721.97207999998</v>
      </c>
      <c r="S100" s="488">
        <f t="shared" si="88"/>
        <v>333721.97207999998</v>
      </c>
      <c r="T100" s="488">
        <f t="shared" si="88"/>
        <v>333721.97207999998</v>
      </c>
      <c r="U100" s="488">
        <f t="shared" si="88"/>
        <v>333721.97207999998</v>
      </c>
      <c r="V100" s="488">
        <f t="shared" si="88"/>
        <v>333721.97207999998</v>
      </c>
      <c r="W100" s="488">
        <f t="shared" si="88"/>
        <v>333721.97207999998</v>
      </c>
      <c r="X100" s="488">
        <f t="shared" si="88"/>
        <v>333721.97207999998</v>
      </c>
      <c r="Y100" s="488">
        <f t="shared" si="88"/>
        <v>333721.97207999998</v>
      </c>
      <c r="Z100" s="488">
        <f t="shared" si="88"/>
        <v>333721.97207999998</v>
      </c>
      <c r="AA100" s="488">
        <f t="shared" si="64"/>
        <v>332053.36221960001</v>
      </c>
      <c r="AB100" s="488">
        <f t="shared" si="65"/>
        <v>330384.75235919998</v>
      </c>
      <c r="AC100" s="488">
        <f t="shared" si="66"/>
        <v>328716.14249880001</v>
      </c>
      <c r="AD100" s="488">
        <f t="shared" si="67"/>
        <v>327047.53263840004</v>
      </c>
      <c r="AE100" s="488">
        <f t="shared" si="68"/>
        <v>325378.92277799995</v>
      </c>
      <c r="AF100" s="488">
        <f t="shared" si="69"/>
        <v>323710.31291759998</v>
      </c>
      <c r="AG100" s="488">
        <f t="shared" si="70"/>
        <v>322041.70305719995</v>
      </c>
      <c r="AH100" s="488">
        <f t="shared" si="71"/>
        <v>320373.09319679998</v>
      </c>
      <c r="AI100" s="488">
        <f t="shared" si="72"/>
        <v>318704.48333640001</v>
      </c>
      <c r="AJ100" s="488">
        <f t="shared" si="73"/>
        <v>317035.87347599998</v>
      </c>
      <c r="AK100" s="488">
        <f t="shared" si="74"/>
        <v>315367.26361560001</v>
      </c>
      <c r="AL100" s="488">
        <f t="shared" si="75"/>
        <v>313698.65375519998</v>
      </c>
      <c r="AM100" s="488">
        <f t="shared" si="76"/>
        <v>312030.04389480001</v>
      </c>
      <c r="AN100" s="488">
        <f t="shared" si="77"/>
        <v>310361.43403440004</v>
      </c>
      <c r="AO100" s="488">
        <f t="shared" si="78"/>
        <v>308692.82417400001</v>
      </c>
      <c r="AP100" s="488">
        <f t="shared" si="79"/>
        <v>307024.21431360004</v>
      </c>
      <c r="AQ100" s="488">
        <f t="shared" si="80"/>
        <v>305355.60445320001</v>
      </c>
      <c r="AR100" s="488">
        <f t="shared" si="81"/>
        <v>303686.99459279998</v>
      </c>
      <c r="AS100" s="488">
        <f t="shared" si="82"/>
        <v>302018.38473240001</v>
      </c>
      <c r="AT100" s="488">
        <f t="shared" si="83"/>
        <v>300349.77487199998</v>
      </c>
      <c r="AU100" s="488"/>
      <c r="AV100" s="488"/>
      <c r="AW100" s="715"/>
      <c r="AX100" s="509" t="str">
        <f>B100&amp;"-"&amp;C100&amp;"-"&amp;E100</f>
        <v>HAC-wheat-Full till</v>
      </c>
    </row>
    <row r="101" spans="1:50" x14ac:dyDescent="0.2">
      <c r="A101" s="436"/>
      <c r="B101" s="962"/>
      <c r="C101" s="951"/>
      <c r="D101" s="467"/>
      <c r="E101" s="474" t="str">
        <f t="shared" si="84"/>
        <v>Reduced till</v>
      </c>
      <c r="F101" s="488">
        <f t="shared" ref="F101:Z101" si="89">$F78</f>
        <v>0</v>
      </c>
      <c r="G101" s="488">
        <f t="shared" si="89"/>
        <v>0</v>
      </c>
      <c r="H101" s="488">
        <f t="shared" si="89"/>
        <v>0</v>
      </c>
      <c r="I101" s="488">
        <f t="shared" si="89"/>
        <v>0</v>
      </c>
      <c r="J101" s="488">
        <f t="shared" si="89"/>
        <v>0</v>
      </c>
      <c r="K101" s="488">
        <f t="shared" si="89"/>
        <v>0</v>
      </c>
      <c r="L101" s="488">
        <f t="shared" si="89"/>
        <v>0</v>
      </c>
      <c r="M101" s="488">
        <f t="shared" si="89"/>
        <v>0</v>
      </c>
      <c r="N101" s="488">
        <f t="shared" si="89"/>
        <v>0</v>
      </c>
      <c r="O101" s="488">
        <f t="shared" si="89"/>
        <v>0</v>
      </c>
      <c r="P101" s="488">
        <f t="shared" si="89"/>
        <v>0</v>
      </c>
      <c r="Q101" s="488">
        <f t="shared" si="89"/>
        <v>0</v>
      </c>
      <c r="R101" s="488">
        <f t="shared" si="89"/>
        <v>0</v>
      </c>
      <c r="S101" s="488">
        <f t="shared" si="89"/>
        <v>0</v>
      </c>
      <c r="T101" s="488">
        <f t="shared" si="89"/>
        <v>0</v>
      </c>
      <c r="U101" s="488">
        <f t="shared" si="89"/>
        <v>0</v>
      </c>
      <c r="V101" s="488">
        <f t="shared" si="89"/>
        <v>0</v>
      </c>
      <c r="W101" s="488">
        <f t="shared" si="89"/>
        <v>0</v>
      </c>
      <c r="X101" s="488">
        <f t="shared" si="89"/>
        <v>0</v>
      </c>
      <c r="Y101" s="488">
        <f t="shared" si="89"/>
        <v>0</v>
      </c>
      <c r="Z101" s="488">
        <f t="shared" si="89"/>
        <v>0</v>
      </c>
      <c r="AA101" s="488">
        <f t="shared" si="64"/>
        <v>904.21090119359997</v>
      </c>
      <c r="AB101" s="488">
        <f t="shared" si="65"/>
        <v>1808.4218023871999</v>
      </c>
      <c r="AC101" s="488">
        <f t="shared" si="66"/>
        <v>2712.6327035807999</v>
      </c>
      <c r="AD101" s="488">
        <f t="shared" si="67"/>
        <v>3616.8436047743999</v>
      </c>
      <c r="AE101" s="488">
        <f t="shared" si="68"/>
        <v>4521.0545059680007</v>
      </c>
      <c r="AF101" s="488">
        <f t="shared" si="69"/>
        <v>5425.2654071616007</v>
      </c>
      <c r="AG101" s="488">
        <f t="shared" si="70"/>
        <v>6329.4763083552007</v>
      </c>
      <c r="AH101" s="488">
        <f t="shared" si="71"/>
        <v>7233.6872095487997</v>
      </c>
      <c r="AI101" s="488">
        <f t="shared" si="72"/>
        <v>8137.8981107423997</v>
      </c>
      <c r="AJ101" s="488">
        <f t="shared" si="73"/>
        <v>9042.1090119359997</v>
      </c>
      <c r="AK101" s="488">
        <f t="shared" si="74"/>
        <v>9946.3199131295987</v>
      </c>
      <c r="AL101" s="488">
        <f t="shared" si="75"/>
        <v>10850.5308143232</v>
      </c>
      <c r="AM101" s="488">
        <f t="shared" si="76"/>
        <v>11754.741715516799</v>
      </c>
      <c r="AN101" s="488">
        <f t="shared" si="77"/>
        <v>12658.9526167104</v>
      </c>
      <c r="AO101" s="488">
        <f t="shared" si="78"/>
        <v>13563.163517904</v>
      </c>
      <c r="AP101" s="488">
        <f t="shared" si="79"/>
        <v>14467.374419097599</v>
      </c>
      <c r="AQ101" s="488">
        <f t="shared" si="80"/>
        <v>15371.5853202912</v>
      </c>
      <c r="AR101" s="488">
        <f t="shared" si="81"/>
        <v>16275.796221484801</v>
      </c>
      <c r="AS101" s="488">
        <f t="shared" si="82"/>
        <v>17180.007122678402</v>
      </c>
      <c r="AT101" s="488">
        <f t="shared" si="83"/>
        <v>18084.218023872003</v>
      </c>
      <c r="AU101" s="488"/>
      <c r="AV101" s="488"/>
      <c r="AW101" s="715"/>
      <c r="AX101" s="509" t="str">
        <f>B100&amp;"-"&amp;C100&amp;"-"&amp;E101</f>
        <v>HAC-wheat-Reduced till</v>
      </c>
    </row>
    <row r="102" spans="1:50" x14ac:dyDescent="0.2">
      <c r="A102" s="436"/>
      <c r="B102" s="962"/>
      <c r="C102" s="951"/>
      <c r="D102" s="467"/>
      <c r="E102" s="474" t="str">
        <f t="shared" si="84"/>
        <v>No-till</v>
      </c>
      <c r="F102" s="488">
        <f t="shared" ref="F102:Z102" si="90">$F79</f>
        <v>0</v>
      </c>
      <c r="G102" s="488">
        <f t="shared" si="90"/>
        <v>0</v>
      </c>
      <c r="H102" s="488">
        <f t="shared" si="90"/>
        <v>0</v>
      </c>
      <c r="I102" s="488">
        <f t="shared" si="90"/>
        <v>0</v>
      </c>
      <c r="J102" s="488">
        <f t="shared" si="90"/>
        <v>0</v>
      </c>
      <c r="K102" s="488">
        <f t="shared" si="90"/>
        <v>0</v>
      </c>
      <c r="L102" s="488">
        <f t="shared" si="90"/>
        <v>0</v>
      </c>
      <c r="M102" s="488">
        <f t="shared" si="90"/>
        <v>0</v>
      </c>
      <c r="N102" s="488">
        <f t="shared" si="90"/>
        <v>0</v>
      </c>
      <c r="O102" s="488">
        <f t="shared" si="90"/>
        <v>0</v>
      </c>
      <c r="P102" s="488">
        <f t="shared" si="90"/>
        <v>0</v>
      </c>
      <c r="Q102" s="488">
        <f t="shared" si="90"/>
        <v>0</v>
      </c>
      <c r="R102" s="488">
        <f t="shared" si="90"/>
        <v>0</v>
      </c>
      <c r="S102" s="488">
        <f t="shared" si="90"/>
        <v>0</v>
      </c>
      <c r="T102" s="488">
        <f t="shared" si="90"/>
        <v>0</v>
      </c>
      <c r="U102" s="488">
        <f t="shared" si="90"/>
        <v>0</v>
      </c>
      <c r="V102" s="488">
        <f t="shared" si="90"/>
        <v>0</v>
      </c>
      <c r="W102" s="488">
        <f t="shared" si="90"/>
        <v>0</v>
      </c>
      <c r="X102" s="488">
        <f t="shared" si="90"/>
        <v>0</v>
      </c>
      <c r="Y102" s="488">
        <f t="shared" si="90"/>
        <v>0</v>
      </c>
      <c r="Z102" s="488">
        <f t="shared" si="90"/>
        <v>0</v>
      </c>
      <c r="AA102" s="488">
        <f t="shared" si="64"/>
        <v>949.87811842560006</v>
      </c>
      <c r="AB102" s="488">
        <f t="shared" si="65"/>
        <v>1899.7562368512001</v>
      </c>
      <c r="AC102" s="488">
        <f t="shared" si="66"/>
        <v>2849.6343552768003</v>
      </c>
      <c r="AD102" s="488">
        <f t="shared" si="67"/>
        <v>3799.5124737024003</v>
      </c>
      <c r="AE102" s="488">
        <f t="shared" si="68"/>
        <v>4749.3905921280011</v>
      </c>
      <c r="AF102" s="488">
        <f t="shared" si="69"/>
        <v>5699.2687105536015</v>
      </c>
      <c r="AG102" s="488">
        <f t="shared" si="70"/>
        <v>6649.146828979201</v>
      </c>
      <c r="AH102" s="488">
        <f t="shared" si="71"/>
        <v>7599.0249474048005</v>
      </c>
      <c r="AI102" s="488">
        <f t="shared" si="72"/>
        <v>8548.9030658304</v>
      </c>
      <c r="AJ102" s="488">
        <f t="shared" si="73"/>
        <v>9498.7811842560004</v>
      </c>
      <c r="AK102" s="488">
        <f t="shared" si="74"/>
        <v>10448.659302681599</v>
      </c>
      <c r="AL102" s="488">
        <f t="shared" si="75"/>
        <v>11398.537421107201</v>
      </c>
      <c r="AM102" s="488">
        <f t="shared" si="76"/>
        <v>12348.4155395328</v>
      </c>
      <c r="AN102" s="488">
        <f t="shared" si="77"/>
        <v>13298.2936579584</v>
      </c>
      <c r="AO102" s="488">
        <f t="shared" si="78"/>
        <v>14248.171776384002</v>
      </c>
      <c r="AP102" s="488">
        <f t="shared" si="79"/>
        <v>15198.049894809601</v>
      </c>
      <c r="AQ102" s="488">
        <f t="shared" si="80"/>
        <v>16147.928013235201</v>
      </c>
      <c r="AR102" s="488">
        <f t="shared" si="81"/>
        <v>17097.806131660804</v>
      </c>
      <c r="AS102" s="488">
        <f t="shared" si="82"/>
        <v>18047.684250086404</v>
      </c>
      <c r="AT102" s="488">
        <f t="shared" si="83"/>
        <v>18997.562368512004</v>
      </c>
      <c r="AU102" s="488"/>
      <c r="AV102" s="488"/>
      <c r="AW102" s="715"/>
      <c r="AX102" s="509" t="str">
        <f>B100&amp;"-"&amp;C100&amp;"-"&amp;E102</f>
        <v>HAC-wheat-No-till</v>
      </c>
    </row>
    <row r="103" spans="1:50" x14ac:dyDescent="0.2">
      <c r="A103" s="436"/>
      <c r="B103" s="962" t="str">
        <f t="shared" ref="B103:C103" si="91">B80</f>
        <v>HAC</v>
      </c>
      <c r="C103" s="951" t="str">
        <f t="shared" si="91"/>
        <v>cassava-beans</v>
      </c>
      <c r="D103" s="467">
        <f>D80</f>
        <v>8586.19</v>
      </c>
      <c r="E103" s="474" t="str">
        <f t="shared" si="84"/>
        <v>Full till</v>
      </c>
      <c r="F103" s="488">
        <f t="shared" ref="F103:Z103" si="92">$F80</f>
        <v>157590.93126000001</v>
      </c>
      <c r="G103" s="488">
        <f t="shared" si="92"/>
        <v>157590.93126000001</v>
      </c>
      <c r="H103" s="488">
        <f t="shared" si="92"/>
        <v>157590.93126000001</v>
      </c>
      <c r="I103" s="488">
        <f t="shared" si="92"/>
        <v>157590.93126000001</v>
      </c>
      <c r="J103" s="488">
        <f t="shared" si="92"/>
        <v>157590.93126000001</v>
      </c>
      <c r="K103" s="488">
        <f t="shared" si="92"/>
        <v>157590.93126000001</v>
      </c>
      <c r="L103" s="488">
        <f t="shared" si="92"/>
        <v>157590.93126000001</v>
      </c>
      <c r="M103" s="488">
        <f t="shared" si="92"/>
        <v>157590.93126000001</v>
      </c>
      <c r="N103" s="488">
        <f t="shared" si="92"/>
        <v>157590.93126000001</v>
      </c>
      <c r="O103" s="488">
        <f t="shared" si="92"/>
        <v>157590.93126000001</v>
      </c>
      <c r="P103" s="488">
        <f t="shared" si="92"/>
        <v>157590.93126000001</v>
      </c>
      <c r="Q103" s="488">
        <f t="shared" si="92"/>
        <v>157590.93126000001</v>
      </c>
      <c r="R103" s="488">
        <f t="shared" si="92"/>
        <v>157590.93126000001</v>
      </c>
      <c r="S103" s="488">
        <f t="shared" si="92"/>
        <v>157590.93126000001</v>
      </c>
      <c r="T103" s="488">
        <f t="shared" si="92"/>
        <v>157590.93126000001</v>
      </c>
      <c r="U103" s="488">
        <f t="shared" si="92"/>
        <v>157590.93126000001</v>
      </c>
      <c r="V103" s="488">
        <f t="shared" si="92"/>
        <v>157590.93126000001</v>
      </c>
      <c r="W103" s="488">
        <f t="shared" si="92"/>
        <v>157590.93126000001</v>
      </c>
      <c r="X103" s="488">
        <f t="shared" si="92"/>
        <v>157590.93126000001</v>
      </c>
      <c r="Y103" s="488">
        <f t="shared" si="92"/>
        <v>157590.93126000001</v>
      </c>
      <c r="Z103" s="488">
        <f t="shared" si="92"/>
        <v>157590.93126000001</v>
      </c>
      <c r="AA103" s="488">
        <f t="shared" si="64"/>
        <v>156802.97660369999</v>
      </c>
      <c r="AB103" s="488">
        <f t="shared" si="65"/>
        <v>156015.0219474</v>
      </c>
      <c r="AC103" s="488">
        <f t="shared" si="66"/>
        <v>155227.06729110001</v>
      </c>
      <c r="AD103" s="488">
        <f t="shared" si="67"/>
        <v>154439.1126348</v>
      </c>
      <c r="AE103" s="488">
        <f t="shared" si="68"/>
        <v>153651.15797850001</v>
      </c>
      <c r="AF103" s="488">
        <f t="shared" si="69"/>
        <v>152863.20332220002</v>
      </c>
      <c r="AG103" s="488">
        <f t="shared" si="70"/>
        <v>152075.2486659</v>
      </c>
      <c r="AH103" s="488">
        <f t="shared" si="71"/>
        <v>151287.29400960001</v>
      </c>
      <c r="AI103" s="488">
        <f t="shared" si="72"/>
        <v>150499.33935329999</v>
      </c>
      <c r="AJ103" s="488">
        <f t="shared" si="73"/>
        <v>149711.384697</v>
      </c>
      <c r="AK103" s="488">
        <f t="shared" si="74"/>
        <v>148923.43004070001</v>
      </c>
      <c r="AL103" s="488">
        <f t="shared" si="75"/>
        <v>148135.47538440002</v>
      </c>
      <c r="AM103" s="488">
        <f t="shared" si="76"/>
        <v>147347.5207281</v>
      </c>
      <c r="AN103" s="488">
        <f t="shared" si="77"/>
        <v>146559.56607180001</v>
      </c>
      <c r="AO103" s="488">
        <f t="shared" si="78"/>
        <v>145771.6114155</v>
      </c>
      <c r="AP103" s="488">
        <f t="shared" si="79"/>
        <v>144983.65675920001</v>
      </c>
      <c r="AQ103" s="488">
        <f t="shared" si="80"/>
        <v>144195.70210290002</v>
      </c>
      <c r="AR103" s="488">
        <f t="shared" si="81"/>
        <v>143407.7474466</v>
      </c>
      <c r="AS103" s="488">
        <f t="shared" si="82"/>
        <v>142619.79279030001</v>
      </c>
      <c r="AT103" s="488">
        <f t="shared" si="83"/>
        <v>141831.83813400002</v>
      </c>
      <c r="AU103" s="488"/>
      <c r="AV103" s="488"/>
      <c r="AW103" s="715"/>
      <c r="AX103" s="509" t="str">
        <f>B103&amp;"-"&amp;C103&amp;"-"&amp;E103</f>
        <v>HAC-cassava-beans-Full till</v>
      </c>
    </row>
    <row r="104" spans="1:50" x14ac:dyDescent="0.2">
      <c r="A104" s="436"/>
      <c r="B104" s="962"/>
      <c r="C104" s="951"/>
      <c r="D104" s="467"/>
      <c r="E104" s="474" t="str">
        <f t="shared" si="84"/>
        <v>Reduced till</v>
      </c>
      <c r="F104" s="488">
        <f t="shared" ref="F104:Z104" si="93">$F81</f>
        <v>0</v>
      </c>
      <c r="G104" s="488">
        <f t="shared" si="93"/>
        <v>0</v>
      </c>
      <c r="H104" s="488">
        <f t="shared" si="93"/>
        <v>0</v>
      </c>
      <c r="I104" s="488">
        <f t="shared" si="93"/>
        <v>0</v>
      </c>
      <c r="J104" s="488">
        <f t="shared" si="93"/>
        <v>0</v>
      </c>
      <c r="K104" s="488">
        <f t="shared" si="93"/>
        <v>0</v>
      </c>
      <c r="L104" s="488">
        <f t="shared" si="93"/>
        <v>0</v>
      </c>
      <c r="M104" s="488">
        <f t="shared" si="93"/>
        <v>0</v>
      </c>
      <c r="N104" s="488">
        <f t="shared" si="93"/>
        <v>0</v>
      </c>
      <c r="O104" s="488">
        <f t="shared" si="93"/>
        <v>0</v>
      </c>
      <c r="P104" s="488">
        <f t="shared" si="93"/>
        <v>0</v>
      </c>
      <c r="Q104" s="488">
        <f t="shared" si="93"/>
        <v>0</v>
      </c>
      <c r="R104" s="488">
        <f t="shared" si="93"/>
        <v>0</v>
      </c>
      <c r="S104" s="488">
        <f t="shared" si="93"/>
        <v>0</v>
      </c>
      <c r="T104" s="488">
        <f t="shared" si="93"/>
        <v>0</v>
      </c>
      <c r="U104" s="488">
        <f t="shared" si="93"/>
        <v>0</v>
      </c>
      <c r="V104" s="488">
        <f t="shared" si="93"/>
        <v>0</v>
      </c>
      <c r="W104" s="488">
        <f t="shared" si="93"/>
        <v>0</v>
      </c>
      <c r="X104" s="488">
        <f t="shared" si="93"/>
        <v>0</v>
      </c>
      <c r="Y104" s="488">
        <f t="shared" si="93"/>
        <v>0</v>
      </c>
      <c r="Z104" s="488">
        <f t="shared" si="93"/>
        <v>0</v>
      </c>
      <c r="AA104" s="488">
        <f t="shared" si="64"/>
        <v>426.9884811192</v>
      </c>
      <c r="AB104" s="488">
        <f t="shared" si="65"/>
        <v>853.97696223840001</v>
      </c>
      <c r="AC104" s="488">
        <f t="shared" si="66"/>
        <v>1280.9654433576002</v>
      </c>
      <c r="AD104" s="488">
        <f t="shared" si="67"/>
        <v>1707.9539244768</v>
      </c>
      <c r="AE104" s="488">
        <f t="shared" si="68"/>
        <v>2134.9424055960003</v>
      </c>
      <c r="AF104" s="488">
        <f t="shared" si="69"/>
        <v>2561.9308867152004</v>
      </c>
      <c r="AG104" s="488">
        <f t="shared" si="70"/>
        <v>2988.9193678344</v>
      </c>
      <c r="AH104" s="488">
        <f t="shared" si="71"/>
        <v>3415.9078489536</v>
      </c>
      <c r="AI104" s="488">
        <f t="shared" si="72"/>
        <v>3842.8963300728001</v>
      </c>
      <c r="AJ104" s="488">
        <f t="shared" si="73"/>
        <v>4269.8848111919997</v>
      </c>
      <c r="AK104" s="488">
        <f t="shared" si="74"/>
        <v>4696.8732923111993</v>
      </c>
      <c r="AL104" s="488">
        <f t="shared" si="75"/>
        <v>5123.8617734303989</v>
      </c>
      <c r="AM104" s="488">
        <f t="shared" si="76"/>
        <v>5550.8502545495985</v>
      </c>
      <c r="AN104" s="488">
        <f t="shared" si="77"/>
        <v>5977.838735668799</v>
      </c>
      <c r="AO104" s="488">
        <f t="shared" si="78"/>
        <v>6404.8272167879995</v>
      </c>
      <c r="AP104" s="488">
        <f t="shared" si="79"/>
        <v>6831.8156979072</v>
      </c>
      <c r="AQ104" s="488">
        <f t="shared" si="80"/>
        <v>7258.8041790264006</v>
      </c>
      <c r="AR104" s="488">
        <f t="shared" si="81"/>
        <v>7685.7926601456011</v>
      </c>
      <c r="AS104" s="488">
        <f t="shared" si="82"/>
        <v>8112.7811412648016</v>
      </c>
      <c r="AT104" s="488">
        <f t="shared" si="83"/>
        <v>8539.769622384003</v>
      </c>
      <c r="AU104" s="488"/>
      <c r="AV104" s="488"/>
      <c r="AW104" s="715"/>
      <c r="AX104" s="509" t="str">
        <f>B103&amp;"-"&amp;C103&amp;"-"&amp;E104</f>
        <v>HAC-cassava-beans-Reduced till</v>
      </c>
    </row>
    <row r="105" spans="1:50" x14ac:dyDescent="0.2">
      <c r="A105" s="436"/>
      <c r="B105" s="962"/>
      <c r="C105" s="951"/>
      <c r="D105" s="467"/>
      <c r="E105" s="474" t="str">
        <f t="shared" si="84"/>
        <v>No-till</v>
      </c>
      <c r="F105" s="488">
        <f t="shared" ref="F105:Z105" si="94">$F82</f>
        <v>0</v>
      </c>
      <c r="G105" s="488">
        <f t="shared" si="94"/>
        <v>0</v>
      </c>
      <c r="H105" s="488">
        <f t="shared" si="94"/>
        <v>0</v>
      </c>
      <c r="I105" s="488">
        <f t="shared" si="94"/>
        <v>0</v>
      </c>
      <c r="J105" s="488">
        <f t="shared" si="94"/>
        <v>0</v>
      </c>
      <c r="K105" s="488">
        <f t="shared" si="94"/>
        <v>0</v>
      </c>
      <c r="L105" s="488">
        <f t="shared" si="94"/>
        <v>0</v>
      </c>
      <c r="M105" s="488">
        <f t="shared" si="94"/>
        <v>0</v>
      </c>
      <c r="N105" s="488">
        <f t="shared" si="94"/>
        <v>0</v>
      </c>
      <c r="O105" s="488">
        <f t="shared" si="94"/>
        <v>0</v>
      </c>
      <c r="P105" s="488">
        <f t="shared" si="94"/>
        <v>0</v>
      </c>
      <c r="Q105" s="488">
        <f t="shared" si="94"/>
        <v>0</v>
      </c>
      <c r="R105" s="488">
        <f t="shared" si="94"/>
        <v>0</v>
      </c>
      <c r="S105" s="488">
        <f t="shared" si="94"/>
        <v>0</v>
      </c>
      <c r="T105" s="488">
        <f t="shared" si="94"/>
        <v>0</v>
      </c>
      <c r="U105" s="488">
        <f t="shared" si="94"/>
        <v>0</v>
      </c>
      <c r="V105" s="488">
        <f t="shared" si="94"/>
        <v>0</v>
      </c>
      <c r="W105" s="488">
        <f t="shared" si="94"/>
        <v>0</v>
      </c>
      <c r="X105" s="488">
        <f t="shared" si="94"/>
        <v>0</v>
      </c>
      <c r="Y105" s="488">
        <f t="shared" si="94"/>
        <v>0</v>
      </c>
      <c r="Z105" s="488">
        <f t="shared" si="94"/>
        <v>0</v>
      </c>
      <c r="AA105" s="488">
        <f t="shared" si="64"/>
        <v>448.55355592320007</v>
      </c>
      <c r="AB105" s="488">
        <f t="shared" si="65"/>
        <v>897.10711184640013</v>
      </c>
      <c r="AC105" s="488">
        <f t="shared" si="66"/>
        <v>1345.6606677696002</v>
      </c>
      <c r="AD105" s="488">
        <f t="shared" si="67"/>
        <v>1794.2142236928003</v>
      </c>
      <c r="AE105" s="488">
        <f t="shared" si="68"/>
        <v>2242.7677796160006</v>
      </c>
      <c r="AF105" s="488">
        <f t="shared" si="69"/>
        <v>2691.3213355392004</v>
      </c>
      <c r="AG105" s="488">
        <f t="shared" si="70"/>
        <v>3139.8748914624007</v>
      </c>
      <c r="AH105" s="488">
        <f t="shared" si="71"/>
        <v>3588.4284473856005</v>
      </c>
      <c r="AI105" s="488">
        <f t="shared" si="72"/>
        <v>4036.9820033088004</v>
      </c>
      <c r="AJ105" s="488">
        <f t="shared" si="73"/>
        <v>4485.5355592320002</v>
      </c>
      <c r="AK105" s="488">
        <f t="shared" si="74"/>
        <v>4934.0891151551996</v>
      </c>
      <c r="AL105" s="488">
        <f t="shared" si="75"/>
        <v>5382.6426710783999</v>
      </c>
      <c r="AM105" s="488">
        <f t="shared" si="76"/>
        <v>5831.1962270015993</v>
      </c>
      <c r="AN105" s="488">
        <f t="shared" si="77"/>
        <v>6279.7497829247995</v>
      </c>
      <c r="AO105" s="488">
        <f t="shared" si="78"/>
        <v>6728.3033388480007</v>
      </c>
      <c r="AP105" s="488">
        <f t="shared" si="79"/>
        <v>7176.856894771201</v>
      </c>
      <c r="AQ105" s="488">
        <f t="shared" si="80"/>
        <v>7625.4104506944013</v>
      </c>
      <c r="AR105" s="488">
        <f t="shared" si="81"/>
        <v>8073.9640066176016</v>
      </c>
      <c r="AS105" s="488">
        <f t="shared" si="82"/>
        <v>8522.5175625408028</v>
      </c>
      <c r="AT105" s="488">
        <f t="shared" si="83"/>
        <v>8971.071118464004</v>
      </c>
      <c r="AU105" s="488"/>
      <c r="AV105" s="488"/>
      <c r="AW105" s="715"/>
      <c r="AX105" s="509" t="str">
        <f>B103&amp;"-"&amp;C103&amp;"-"&amp;E105</f>
        <v>HAC-cassava-beans-No-till</v>
      </c>
    </row>
    <row r="106" spans="1:50" x14ac:dyDescent="0.2">
      <c r="A106" s="436"/>
      <c r="B106" s="962" t="str">
        <f t="shared" ref="B106:C106" si="95">B83</f>
        <v>VOL</v>
      </c>
      <c r="C106" s="951" t="str">
        <f t="shared" si="95"/>
        <v>vegetables</v>
      </c>
      <c r="D106" s="467">
        <f>D83</f>
        <v>4235.4000000000005</v>
      </c>
      <c r="E106" s="474" t="str">
        <f t="shared" si="84"/>
        <v>Full till</v>
      </c>
      <c r="F106" s="488">
        <f t="shared" ref="F106:Z106" si="96">$F83</f>
        <v>185086.98</v>
      </c>
      <c r="G106" s="488">
        <f t="shared" si="96"/>
        <v>185086.98</v>
      </c>
      <c r="H106" s="488">
        <f t="shared" si="96"/>
        <v>185086.98</v>
      </c>
      <c r="I106" s="488">
        <f t="shared" si="96"/>
        <v>185086.98</v>
      </c>
      <c r="J106" s="488">
        <f t="shared" si="96"/>
        <v>185086.98</v>
      </c>
      <c r="K106" s="488">
        <f t="shared" si="96"/>
        <v>185086.98</v>
      </c>
      <c r="L106" s="488">
        <f t="shared" si="96"/>
        <v>185086.98</v>
      </c>
      <c r="M106" s="488">
        <f t="shared" si="96"/>
        <v>185086.98</v>
      </c>
      <c r="N106" s="488">
        <f t="shared" si="96"/>
        <v>185086.98</v>
      </c>
      <c r="O106" s="488">
        <f t="shared" si="96"/>
        <v>185086.98</v>
      </c>
      <c r="P106" s="488">
        <f t="shared" si="96"/>
        <v>185086.98</v>
      </c>
      <c r="Q106" s="488">
        <f t="shared" si="96"/>
        <v>185086.98</v>
      </c>
      <c r="R106" s="488">
        <f t="shared" si="96"/>
        <v>185086.98</v>
      </c>
      <c r="S106" s="488">
        <f t="shared" si="96"/>
        <v>185086.98</v>
      </c>
      <c r="T106" s="488">
        <f t="shared" si="96"/>
        <v>185086.98</v>
      </c>
      <c r="U106" s="488">
        <f t="shared" si="96"/>
        <v>185086.98</v>
      </c>
      <c r="V106" s="488">
        <f t="shared" si="96"/>
        <v>185086.98</v>
      </c>
      <c r="W106" s="488">
        <f t="shared" si="96"/>
        <v>185086.98</v>
      </c>
      <c r="X106" s="488">
        <f t="shared" si="96"/>
        <v>185086.98</v>
      </c>
      <c r="Y106" s="488">
        <f t="shared" si="96"/>
        <v>185086.98</v>
      </c>
      <c r="Z106" s="488">
        <f t="shared" si="96"/>
        <v>185086.98</v>
      </c>
      <c r="AA106" s="488">
        <f t="shared" si="64"/>
        <v>184161.54510000002</v>
      </c>
      <c r="AB106" s="488">
        <f t="shared" si="65"/>
        <v>183236.1102</v>
      </c>
      <c r="AC106" s="488">
        <f t="shared" si="66"/>
        <v>182310.6753</v>
      </c>
      <c r="AD106" s="488">
        <f t="shared" si="67"/>
        <v>181385.24039999998</v>
      </c>
      <c r="AE106" s="488">
        <f t="shared" si="68"/>
        <v>180459.80549999999</v>
      </c>
      <c r="AF106" s="488">
        <f t="shared" si="69"/>
        <v>179534.37060000002</v>
      </c>
      <c r="AG106" s="488">
        <f t="shared" si="70"/>
        <v>178608.9357</v>
      </c>
      <c r="AH106" s="488">
        <f t="shared" si="71"/>
        <v>177683.50080000001</v>
      </c>
      <c r="AI106" s="488">
        <f t="shared" si="72"/>
        <v>176758.06589999999</v>
      </c>
      <c r="AJ106" s="488">
        <f t="shared" si="73"/>
        <v>175832.63099999999</v>
      </c>
      <c r="AK106" s="488">
        <f t="shared" si="74"/>
        <v>174907.19610000003</v>
      </c>
      <c r="AL106" s="488">
        <f t="shared" si="75"/>
        <v>173981.76120000001</v>
      </c>
      <c r="AM106" s="488">
        <f t="shared" si="76"/>
        <v>173056.32630000002</v>
      </c>
      <c r="AN106" s="488">
        <f t="shared" si="77"/>
        <v>172130.89140000002</v>
      </c>
      <c r="AO106" s="488">
        <f t="shared" si="78"/>
        <v>171205.45650000003</v>
      </c>
      <c r="AP106" s="488">
        <f t="shared" si="79"/>
        <v>170280.02160000001</v>
      </c>
      <c r="AQ106" s="488">
        <f t="shared" si="80"/>
        <v>169354.58670000001</v>
      </c>
      <c r="AR106" s="488">
        <f t="shared" si="81"/>
        <v>168429.15180000002</v>
      </c>
      <c r="AS106" s="488">
        <f t="shared" si="82"/>
        <v>167503.71690000003</v>
      </c>
      <c r="AT106" s="488">
        <f t="shared" si="83"/>
        <v>166578.28200000001</v>
      </c>
      <c r="AU106" s="488"/>
      <c r="AV106" s="488"/>
      <c r="AW106" s="715"/>
      <c r="AX106" s="509" t="str">
        <f>B106&amp;"-"&amp;C106&amp;"-"&amp;E106</f>
        <v>VOL-vegetables-Full till</v>
      </c>
    </row>
    <row r="107" spans="1:50" x14ac:dyDescent="0.2">
      <c r="A107" s="436"/>
      <c r="B107" s="962"/>
      <c r="C107" s="951"/>
      <c r="D107" s="467"/>
      <c r="E107" s="474" t="str">
        <f t="shared" si="84"/>
        <v>Reduced till</v>
      </c>
      <c r="F107" s="488">
        <f t="shared" ref="F107:Z107" si="97">$F84</f>
        <v>0</v>
      </c>
      <c r="G107" s="488">
        <f t="shared" si="97"/>
        <v>0</v>
      </c>
      <c r="H107" s="488">
        <f t="shared" si="97"/>
        <v>0</v>
      </c>
      <c r="I107" s="488">
        <f t="shared" si="97"/>
        <v>0</v>
      </c>
      <c r="J107" s="488">
        <f t="shared" si="97"/>
        <v>0</v>
      </c>
      <c r="K107" s="488">
        <f t="shared" si="97"/>
        <v>0</v>
      </c>
      <c r="L107" s="488">
        <f t="shared" si="97"/>
        <v>0</v>
      </c>
      <c r="M107" s="488">
        <f t="shared" si="97"/>
        <v>0</v>
      </c>
      <c r="N107" s="488">
        <f t="shared" si="97"/>
        <v>0</v>
      </c>
      <c r="O107" s="488">
        <f t="shared" si="97"/>
        <v>0</v>
      </c>
      <c r="P107" s="488">
        <f t="shared" si="97"/>
        <v>0</v>
      </c>
      <c r="Q107" s="488">
        <f t="shared" si="97"/>
        <v>0</v>
      </c>
      <c r="R107" s="488">
        <f t="shared" si="97"/>
        <v>0</v>
      </c>
      <c r="S107" s="488">
        <f t="shared" si="97"/>
        <v>0</v>
      </c>
      <c r="T107" s="488">
        <f t="shared" si="97"/>
        <v>0</v>
      </c>
      <c r="U107" s="488">
        <f t="shared" si="97"/>
        <v>0</v>
      </c>
      <c r="V107" s="488">
        <f t="shared" si="97"/>
        <v>0</v>
      </c>
      <c r="W107" s="488">
        <f t="shared" si="97"/>
        <v>0</v>
      </c>
      <c r="X107" s="488">
        <f t="shared" si="97"/>
        <v>0</v>
      </c>
      <c r="Y107" s="488">
        <f t="shared" si="97"/>
        <v>0</v>
      </c>
      <c r="Z107" s="488">
        <f t="shared" si="97"/>
        <v>0</v>
      </c>
      <c r="AA107" s="488">
        <f t="shared" si="64"/>
        <v>501.48830160000011</v>
      </c>
      <c r="AB107" s="488">
        <f t="shared" si="65"/>
        <v>1002.9766032000002</v>
      </c>
      <c r="AC107" s="488">
        <f t="shared" si="66"/>
        <v>1504.4649048000003</v>
      </c>
      <c r="AD107" s="488">
        <f t="shared" si="67"/>
        <v>2005.9532064000005</v>
      </c>
      <c r="AE107" s="488">
        <f t="shared" si="68"/>
        <v>2507.4415080000008</v>
      </c>
      <c r="AF107" s="488">
        <f t="shared" si="69"/>
        <v>3008.9298096000007</v>
      </c>
      <c r="AG107" s="488">
        <f t="shared" si="70"/>
        <v>3510.418111200001</v>
      </c>
      <c r="AH107" s="488">
        <f t="shared" si="71"/>
        <v>4011.9064128000009</v>
      </c>
      <c r="AI107" s="488">
        <f t="shared" si="72"/>
        <v>4513.3947144000003</v>
      </c>
      <c r="AJ107" s="488">
        <f t="shared" si="73"/>
        <v>5014.8830160000007</v>
      </c>
      <c r="AK107" s="488">
        <f t="shared" si="74"/>
        <v>5516.3713176000001</v>
      </c>
      <c r="AL107" s="488">
        <f t="shared" si="75"/>
        <v>6017.8596192000005</v>
      </c>
      <c r="AM107" s="488">
        <f t="shared" si="76"/>
        <v>6519.3479207999999</v>
      </c>
      <c r="AN107" s="488">
        <f t="shared" si="77"/>
        <v>7020.8362224000002</v>
      </c>
      <c r="AO107" s="488">
        <f t="shared" si="78"/>
        <v>7522.3245240000015</v>
      </c>
      <c r="AP107" s="488">
        <f t="shared" si="79"/>
        <v>8023.8128256000018</v>
      </c>
      <c r="AQ107" s="488">
        <f t="shared" si="80"/>
        <v>8525.3011272000022</v>
      </c>
      <c r="AR107" s="488">
        <f t="shared" si="81"/>
        <v>9026.7894288000025</v>
      </c>
      <c r="AS107" s="488">
        <f t="shared" si="82"/>
        <v>9528.2777304000028</v>
      </c>
      <c r="AT107" s="488">
        <f t="shared" si="83"/>
        <v>10029.766032000003</v>
      </c>
      <c r="AU107" s="488"/>
      <c r="AV107" s="488"/>
      <c r="AW107" s="715"/>
      <c r="AX107" s="509" t="str">
        <f>B106&amp;"-"&amp;C106&amp;"-"&amp;E107</f>
        <v>VOL-vegetables-Reduced till</v>
      </c>
    </row>
    <row r="108" spans="1:50" x14ac:dyDescent="0.2">
      <c r="A108" s="436"/>
      <c r="B108" s="962"/>
      <c r="C108" s="951"/>
      <c r="D108" s="467"/>
      <c r="E108" s="474" t="str">
        <f t="shared" si="84"/>
        <v>No-till</v>
      </c>
      <c r="F108" s="488">
        <f t="shared" ref="F108:Z108" si="98">$F85</f>
        <v>0</v>
      </c>
      <c r="G108" s="488">
        <f t="shared" si="98"/>
        <v>0</v>
      </c>
      <c r="H108" s="488">
        <f t="shared" si="98"/>
        <v>0</v>
      </c>
      <c r="I108" s="488">
        <f t="shared" si="98"/>
        <v>0</v>
      </c>
      <c r="J108" s="488">
        <f t="shared" si="98"/>
        <v>0</v>
      </c>
      <c r="K108" s="488">
        <f t="shared" si="98"/>
        <v>0</v>
      </c>
      <c r="L108" s="488">
        <f t="shared" si="98"/>
        <v>0</v>
      </c>
      <c r="M108" s="488">
        <f t="shared" si="98"/>
        <v>0</v>
      </c>
      <c r="N108" s="488">
        <f t="shared" si="98"/>
        <v>0</v>
      </c>
      <c r="O108" s="488">
        <f t="shared" si="98"/>
        <v>0</v>
      </c>
      <c r="P108" s="488">
        <f t="shared" si="98"/>
        <v>0</v>
      </c>
      <c r="Q108" s="488">
        <f t="shared" si="98"/>
        <v>0</v>
      </c>
      <c r="R108" s="488">
        <f t="shared" si="98"/>
        <v>0</v>
      </c>
      <c r="S108" s="488">
        <f t="shared" si="98"/>
        <v>0</v>
      </c>
      <c r="T108" s="488">
        <f t="shared" si="98"/>
        <v>0</v>
      </c>
      <c r="U108" s="488">
        <f t="shared" si="98"/>
        <v>0</v>
      </c>
      <c r="V108" s="488">
        <f t="shared" si="98"/>
        <v>0</v>
      </c>
      <c r="W108" s="488">
        <f t="shared" si="98"/>
        <v>0</v>
      </c>
      <c r="X108" s="488">
        <f t="shared" si="98"/>
        <v>0</v>
      </c>
      <c r="Y108" s="488">
        <f t="shared" si="98"/>
        <v>0</v>
      </c>
      <c r="Z108" s="488">
        <f t="shared" si="98"/>
        <v>0</v>
      </c>
      <c r="AA108" s="488">
        <f t="shared" si="64"/>
        <v>526.81599360000018</v>
      </c>
      <c r="AB108" s="488">
        <f t="shared" si="65"/>
        <v>1053.6319872000004</v>
      </c>
      <c r="AC108" s="488">
        <f t="shared" si="66"/>
        <v>1580.4479808000003</v>
      </c>
      <c r="AD108" s="488">
        <f t="shared" si="67"/>
        <v>2107.2639744000007</v>
      </c>
      <c r="AE108" s="488">
        <f t="shared" si="68"/>
        <v>2634.0799680000009</v>
      </c>
      <c r="AF108" s="488">
        <f t="shared" si="69"/>
        <v>3160.8959616000011</v>
      </c>
      <c r="AG108" s="488">
        <f t="shared" si="70"/>
        <v>3687.7119552000013</v>
      </c>
      <c r="AH108" s="488">
        <f t="shared" si="71"/>
        <v>4214.5279488000015</v>
      </c>
      <c r="AI108" s="488">
        <f t="shared" si="72"/>
        <v>4741.3439424000007</v>
      </c>
      <c r="AJ108" s="488">
        <f t="shared" si="73"/>
        <v>5268.1599360000009</v>
      </c>
      <c r="AK108" s="488">
        <f t="shared" si="74"/>
        <v>5794.9759296000011</v>
      </c>
      <c r="AL108" s="488">
        <f t="shared" si="75"/>
        <v>6321.7919232000004</v>
      </c>
      <c r="AM108" s="488">
        <f t="shared" si="76"/>
        <v>6848.6079168000006</v>
      </c>
      <c r="AN108" s="488">
        <f t="shared" si="77"/>
        <v>7375.4239104000008</v>
      </c>
      <c r="AO108" s="488">
        <f t="shared" si="78"/>
        <v>7902.2399040000018</v>
      </c>
      <c r="AP108" s="488">
        <f t="shared" si="79"/>
        <v>8429.0558976000029</v>
      </c>
      <c r="AQ108" s="488">
        <f t="shared" si="80"/>
        <v>8955.8718912000022</v>
      </c>
      <c r="AR108" s="488">
        <f t="shared" si="81"/>
        <v>9482.6878848000033</v>
      </c>
      <c r="AS108" s="488">
        <f t="shared" si="82"/>
        <v>10009.503878400004</v>
      </c>
      <c r="AT108" s="488">
        <f t="shared" si="83"/>
        <v>10536.319872000004</v>
      </c>
      <c r="AU108" s="488"/>
      <c r="AV108" s="488"/>
      <c r="AW108" s="715"/>
      <c r="AX108" s="509" t="str">
        <f>B106&amp;"-"&amp;C106&amp;"-"&amp;E108</f>
        <v>VOL-vegetables-No-till</v>
      </c>
    </row>
    <row r="109" spans="1:50" x14ac:dyDescent="0.2">
      <c r="A109" s="436"/>
      <c r="B109" s="962" t="str">
        <f t="shared" ref="B109:C109" si="99">B86</f>
        <v>VOL</v>
      </c>
      <c r="C109" s="951" t="str">
        <f t="shared" si="99"/>
        <v>cassava-beans</v>
      </c>
      <c r="D109" s="467">
        <f>D86</f>
        <v>1194.5999999999999</v>
      </c>
      <c r="E109" s="474" t="str">
        <f t="shared" si="84"/>
        <v>Full till</v>
      </c>
      <c r="F109" s="488">
        <f t="shared" ref="F109:H114" si="100">$F86</f>
        <v>52204.01999999999</v>
      </c>
      <c r="G109" s="488">
        <f t="shared" si="100"/>
        <v>52204.01999999999</v>
      </c>
      <c r="H109" s="488">
        <f t="shared" si="100"/>
        <v>52204.01999999999</v>
      </c>
      <c r="I109" s="488">
        <f t="shared" ref="I109:Z109" si="101">$F86</f>
        <v>52204.01999999999</v>
      </c>
      <c r="J109" s="488">
        <f t="shared" si="101"/>
        <v>52204.01999999999</v>
      </c>
      <c r="K109" s="488">
        <f t="shared" si="101"/>
        <v>52204.01999999999</v>
      </c>
      <c r="L109" s="488">
        <f t="shared" si="101"/>
        <v>52204.01999999999</v>
      </c>
      <c r="M109" s="488">
        <f t="shared" si="101"/>
        <v>52204.01999999999</v>
      </c>
      <c r="N109" s="488">
        <f t="shared" si="101"/>
        <v>52204.01999999999</v>
      </c>
      <c r="O109" s="488">
        <f t="shared" si="101"/>
        <v>52204.01999999999</v>
      </c>
      <c r="P109" s="488">
        <f t="shared" si="101"/>
        <v>52204.01999999999</v>
      </c>
      <c r="Q109" s="488">
        <f t="shared" si="101"/>
        <v>52204.01999999999</v>
      </c>
      <c r="R109" s="488">
        <f t="shared" si="101"/>
        <v>52204.01999999999</v>
      </c>
      <c r="S109" s="488">
        <f t="shared" si="101"/>
        <v>52204.01999999999</v>
      </c>
      <c r="T109" s="488">
        <f t="shared" si="101"/>
        <v>52204.01999999999</v>
      </c>
      <c r="U109" s="488">
        <f t="shared" si="101"/>
        <v>52204.01999999999</v>
      </c>
      <c r="V109" s="488">
        <f t="shared" si="101"/>
        <v>52204.01999999999</v>
      </c>
      <c r="W109" s="488">
        <f t="shared" si="101"/>
        <v>52204.01999999999</v>
      </c>
      <c r="X109" s="488">
        <f t="shared" si="101"/>
        <v>52204.01999999999</v>
      </c>
      <c r="Y109" s="488">
        <f t="shared" si="101"/>
        <v>52204.01999999999</v>
      </c>
      <c r="Z109" s="488">
        <f t="shared" si="101"/>
        <v>52204.01999999999</v>
      </c>
      <c r="AA109" s="488">
        <f t="shared" si="64"/>
        <v>51942.999899999995</v>
      </c>
      <c r="AB109" s="488">
        <f t="shared" si="65"/>
        <v>51681.979799999994</v>
      </c>
      <c r="AC109" s="488">
        <f t="shared" si="66"/>
        <v>51420.959699999985</v>
      </c>
      <c r="AD109" s="488">
        <f t="shared" si="67"/>
        <v>51159.939599999991</v>
      </c>
      <c r="AE109" s="488">
        <f t="shared" si="68"/>
        <v>50898.919499999989</v>
      </c>
      <c r="AF109" s="488">
        <f t="shared" si="69"/>
        <v>50637.899399999995</v>
      </c>
      <c r="AG109" s="488">
        <f t="shared" si="70"/>
        <v>50376.879299999993</v>
      </c>
      <c r="AH109" s="488">
        <f t="shared" si="71"/>
        <v>50115.859199999984</v>
      </c>
      <c r="AI109" s="488">
        <f t="shared" si="72"/>
        <v>49854.83909999999</v>
      </c>
      <c r="AJ109" s="488">
        <f t="shared" si="73"/>
        <v>49593.818999999989</v>
      </c>
      <c r="AK109" s="488">
        <f t="shared" si="74"/>
        <v>49332.798899999994</v>
      </c>
      <c r="AL109" s="488">
        <f t="shared" si="75"/>
        <v>49071.778799999993</v>
      </c>
      <c r="AM109" s="488">
        <f t="shared" si="76"/>
        <v>48810.758699999998</v>
      </c>
      <c r="AN109" s="488">
        <f t="shared" si="77"/>
        <v>48549.738599999997</v>
      </c>
      <c r="AO109" s="488">
        <f t="shared" si="78"/>
        <v>48288.718499999988</v>
      </c>
      <c r="AP109" s="488">
        <f t="shared" si="79"/>
        <v>48027.698399999994</v>
      </c>
      <c r="AQ109" s="488">
        <f t="shared" si="80"/>
        <v>47766.678299999992</v>
      </c>
      <c r="AR109" s="488">
        <f t="shared" si="81"/>
        <v>47505.658199999998</v>
      </c>
      <c r="AS109" s="488">
        <f t="shared" si="82"/>
        <v>47244.638099999996</v>
      </c>
      <c r="AT109" s="488">
        <f t="shared" si="83"/>
        <v>46983.617999999988</v>
      </c>
      <c r="AU109" s="488"/>
      <c r="AV109" s="488"/>
      <c r="AW109" s="715"/>
      <c r="AX109" s="509" t="str">
        <f>B109&amp;"-"&amp;C109&amp;"-"&amp;E109</f>
        <v>VOL-cassava-beans-Full till</v>
      </c>
    </row>
    <row r="110" spans="1:50" x14ac:dyDescent="0.2">
      <c r="A110" s="436"/>
      <c r="B110" s="962"/>
      <c r="C110" s="951"/>
      <c r="D110" s="467"/>
      <c r="E110" s="474" t="str">
        <f t="shared" si="84"/>
        <v>Reduced till</v>
      </c>
      <c r="F110" s="488">
        <f t="shared" si="100"/>
        <v>0</v>
      </c>
      <c r="G110" s="488">
        <f t="shared" si="100"/>
        <v>0</v>
      </c>
      <c r="H110" s="488">
        <f t="shared" si="100"/>
        <v>0</v>
      </c>
      <c r="I110" s="488">
        <f t="shared" ref="I110:Z110" si="102">$F87</f>
        <v>0</v>
      </c>
      <c r="J110" s="488">
        <f t="shared" si="102"/>
        <v>0</v>
      </c>
      <c r="K110" s="488">
        <f t="shared" si="102"/>
        <v>0</v>
      </c>
      <c r="L110" s="488">
        <f t="shared" si="102"/>
        <v>0</v>
      </c>
      <c r="M110" s="488">
        <f t="shared" si="102"/>
        <v>0</v>
      </c>
      <c r="N110" s="488">
        <f t="shared" si="102"/>
        <v>0</v>
      </c>
      <c r="O110" s="488">
        <f t="shared" si="102"/>
        <v>0</v>
      </c>
      <c r="P110" s="488">
        <f t="shared" si="102"/>
        <v>0</v>
      </c>
      <c r="Q110" s="488">
        <f t="shared" si="102"/>
        <v>0</v>
      </c>
      <c r="R110" s="488">
        <f t="shared" si="102"/>
        <v>0</v>
      </c>
      <c r="S110" s="488">
        <f t="shared" si="102"/>
        <v>0</v>
      </c>
      <c r="T110" s="488">
        <f t="shared" si="102"/>
        <v>0</v>
      </c>
      <c r="U110" s="488">
        <f t="shared" si="102"/>
        <v>0</v>
      </c>
      <c r="V110" s="488">
        <f t="shared" si="102"/>
        <v>0</v>
      </c>
      <c r="W110" s="488">
        <f t="shared" si="102"/>
        <v>0</v>
      </c>
      <c r="X110" s="488">
        <f t="shared" si="102"/>
        <v>0</v>
      </c>
      <c r="Y110" s="488">
        <f t="shared" si="102"/>
        <v>0</v>
      </c>
      <c r="Z110" s="488">
        <f t="shared" si="102"/>
        <v>0</v>
      </c>
      <c r="AA110" s="488">
        <f t="shared" si="64"/>
        <v>141.44541839999999</v>
      </c>
      <c r="AB110" s="488">
        <f t="shared" si="65"/>
        <v>282.89083679999999</v>
      </c>
      <c r="AC110" s="488">
        <f t="shared" si="66"/>
        <v>424.33625519999993</v>
      </c>
      <c r="AD110" s="488">
        <f t="shared" si="67"/>
        <v>565.78167359999998</v>
      </c>
      <c r="AE110" s="488">
        <f t="shared" si="68"/>
        <v>707.22709199999997</v>
      </c>
      <c r="AF110" s="488">
        <f t="shared" si="69"/>
        <v>848.67251040000008</v>
      </c>
      <c r="AG110" s="488">
        <f t="shared" si="70"/>
        <v>990.11792880000007</v>
      </c>
      <c r="AH110" s="488">
        <f t="shared" si="71"/>
        <v>1131.5633472</v>
      </c>
      <c r="AI110" s="488">
        <f t="shared" si="72"/>
        <v>1273.0087655999998</v>
      </c>
      <c r="AJ110" s="488">
        <f t="shared" si="73"/>
        <v>1414.4541839999999</v>
      </c>
      <c r="AK110" s="488">
        <f t="shared" si="74"/>
        <v>1555.8996023999998</v>
      </c>
      <c r="AL110" s="488">
        <f t="shared" si="75"/>
        <v>1697.3450207999997</v>
      </c>
      <c r="AM110" s="488">
        <f t="shared" si="76"/>
        <v>1838.7904391999998</v>
      </c>
      <c r="AN110" s="488">
        <f t="shared" si="77"/>
        <v>1980.2358575999997</v>
      </c>
      <c r="AO110" s="488">
        <f t="shared" si="78"/>
        <v>2121.6812759999998</v>
      </c>
      <c r="AP110" s="488">
        <f t="shared" si="79"/>
        <v>2263.1266943999999</v>
      </c>
      <c r="AQ110" s="488">
        <f t="shared" si="80"/>
        <v>2404.5721128</v>
      </c>
      <c r="AR110" s="488">
        <f t="shared" si="81"/>
        <v>2546.0175312000006</v>
      </c>
      <c r="AS110" s="488">
        <f t="shared" si="82"/>
        <v>2687.4629496000002</v>
      </c>
      <c r="AT110" s="488">
        <f t="shared" si="83"/>
        <v>2828.9083680000003</v>
      </c>
      <c r="AU110" s="488"/>
      <c r="AV110" s="488"/>
      <c r="AW110" s="715"/>
      <c r="AX110" s="509" t="str">
        <f>B109&amp;"-"&amp;C109&amp;"-"&amp;E110</f>
        <v>VOL-cassava-beans-Reduced till</v>
      </c>
    </row>
    <row r="111" spans="1:50" x14ac:dyDescent="0.2">
      <c r="A111" s="436"/>
      <c r="B111" s="962"/>
      <c r="C111" s="951"/>
      <c r="D111" s="467"/>
      <c r="E111" s="474" t="str">
        <f t="shared" si="84"/>
        <v>No-till</v>
      </c>
      <c r="F111" s="488">
        <f t="shared" si="100"/>
        <v>0</v>
      </c>
      <c r="G111" s="488">
        <f t="shared" si="100"/>
        <v>0</v>
      </c>
      <c r="H111" s="488">
        <f t="shared" si="100"/>
        <v>0</v>
      </c>
      <c r="I111" s="488">
        <f t="shared" ref="I111:Z111" si="103">$F88</f>
        <v>0</v>
      </c>
      <c r="J111" s="488">
        <f t="shared" si="103"/>
        <v>0</v>
      </c>
      <c r="K111" s="488">
        <f t="shared" si="103"/>
        <v>0</v>
      </c>
      <c r="L111" s="488">
        <f t="shared" si="103"/>
        <v>0</v>
      </c>
      <c r="M111" s="488">
        <f t="shared" si="103"/>
        <v>0</v>
      </c>
      <c r="N111" s="488">
        <f t="shared" si="103"/>
        <v>0</v>
      </c>
      <c r="O111" s="488">
        <f t="shared" si="103"/>
        <v>0</v>
      </c>
      <c r="P111" s="488">
        <f t="shared" si="103"/>
        <v>0</v>
      </c>
      <c r="Q111" s="488">
        <f t="shared" si="103"/>
        <v>0</v>
      </c>
      <c r="R111" s="488">
        <f t="shared" si="103"/>
        <v>0</v>
      </c>
      <c r="S111" s="488">
        <f t="shared" si="103"/>
        <v>0</v>
      </c>
      <c r="T111" s="488">
        <f t="shared" si="103"/>
        <v>0</v>
      </c>
      <c r="U111" s="488">
        <f t="shared" si="103"/>
        <v>0</v>
      </c>
      <c r="V111" s="488">
        <f t="shared" si="103"/>
        <v>0</v>
      </c>
      <c r="W111" s="488">
        <f t="shared" si="103"/>
        <v>0</v>
      </c>
      <c r="X111" s="488">
        <f t="shared" si="103"/>
        <v>0</v>
      </c>
      <c r="Y111" s="488">
        <f t="shared" si="103"/>
        <v>0</v>
      </c>
      <c r="Z111" s="488">
        <f t="shared" si="103"/>
        <v>0</v>
      </c>
      <c r="AA111" s="488">
        <f t="shared" si="64"/>
        <v>148.58912640000003</v>
      </c>
      <c r="AB111" s="488">
        <f t="shared" si="65"/>
        <v>297.17825280000005</v>
      </c>
      <c r="AC111" s="488">
        <f t="shared" si="66"/>
        <v>445.76737919999999</v>
      </c>
      <c r="AD111" s="488">
        <f t="shared" si="67"/>
        <v>594.35650560000011</v>
      </c>
      <c r="AE111" s="488">
        <f t="shared" si="68"/>
        <v>742.94563200000005</v>
      </c>
      <c r="AF111" s="488">
        <f t="shared" si="69"/>
        <v>891.5347584000001</v>
      </c>
      <c r="AG111" s="488">
        <f t="shared" si="70"/>
        <v>1040.1238848</v>
      </c>
      <c r="AH111" s="488">
        <f t="shared" si="71"/>
        <v>1188.7130112000002</v>
      </c>
      <c r="AI111" s="488">
        <f t="shared" si="72"/>
        <v>1337.3021375999999</v>
      </c>
      <c r="AJ111" s="488">
        <f t="shared" si="73"/>
        <v>1485.8912639999999</v>
      </c>
      <c r="AK111" s="488">
        <f t="shared" si="74"/>
        <v>1634.4803903999998</v>
      </c>
      <c r="AL111" s="488">
        <f t="shared" si="75"/>
        <v>1783.0695168</v>
      </c>
      <c r="AM111" s="488">
        <f t="shared" si="76"/>
        <v>1931.6586431999999</v>
      </c>
      <c r="AN111" s="488">
        <f t="shared" si="77"/>
        <v>2080.2477696000001</v>
      </c>
      <c r="AO111" s="488">
        <f t="shared" si="78"/>
        <v>2228.8368959999998</v>
      </c>
      <c r="AP111" s="488">
        <f t="shared" si="79"/>
        <v>2377.4260224000004</v>
      </c>
      <c r="AQ111" s="488">
        <f t="shared" si="80"/>
        <v>2526.0151488000001</v>
      </c>
      <c r="AR111" s="488">
        <f t="shared" si="81"/>
        <v>2674.6042752000008</v>
      </c>
      <c r="AS111" s="488">
        <f t="shared" si="82"/>
        <v>2823.1934016000005</v>
      </c>
      <c r="AT111" s="488">
        <f t="shared" si="83"/>
        <v>2971.7825280000006</v>
      </c>
      <c r="AU111" s="488"/>
      <c r="AV111" s="488"/>
      <c r="AW111" s="715"/>
      <c r="AX111" s="509" t="str">
        <f>B109&amp;"-"&amp;C109&amp;"-"&amp;E111</f>
        <v>VOL-cassava-beans-No-till</v>
      </c>
    </row>
    <row r="112" spans="1:50" x14ac:dyDescent="0.2">
      <c r="A112" s="436"/>
      <c r="B112" s="962" t="str">
        <f t="shared" ref="B112:C112" si="104">B89</f>
        <v>LAC</v>
      </c>
      <c r="C112" s="951" t="str">
        <f t="shared" si="104"/>
        <v>wheat</v>
      </c>
      <c r="D112" s="467">
        <f>D89</f>
        <v>2309</v>
      </c>
      <c r="E112" s="474" t="str">
        <f t="shared" si="84"/>
        <v>Full till</v>
      </c>
      <c r="F112" s="488">
        <f t="shared" si="100"/>
        <v>38343.253999999994</v>
      </c>
      <c r="G112" s="488">
        <f t="shared" si="100"/>
        <v>38343.253999999994</v>
      </c>
      <c r="H112" s="488">
        <f t="shared" si="100"/>
        <v>38343.253999999994</v>
      </c>
      <c r="I112" s="488">
        <f t="shared" ref="I112:Z112" si="105">$F89</f>
        <v>38343.253999999994</v>
      </c>
      <c r="J112" s="488">
        <f t="shared" si="105"/>
        <v>38343.253999999994</v>
      </c>
      <c r="K112" s="488">
        <f t="shared" si="105"/>
        <v>38343.253999999994</v>
      </c>
      <c r="L112" s="488">
        <f t="shared" si="105"/>
        <v>38343.253999999994</v>
      </c>
      <c r="M112" s="488">
        <f t="shared" si="105"/>
        <v>38343.253999999994</v>
      </c>
      <c r="N112" s="488">
        <f t="shared" si="105"/>
        <v>38343.253999999994</v>
      </c>
      <c r="O112" s="488">
        <f t="shared" si="105"/>
        <v>38343.253999999994</v>
      </c>
      <c r="P112" s="488">
        <f t="shared" si="105"/>
        <v>38343.253999999994</v>
      </c>
      <c r="Q112" s="488">
        <f t="shared" si="105"/>
        <v>38343.253999999994</v>
      </c>
      <c r="R112" s="488">
        <f t="shared" si="105"/>
        <v>38343.253999999994</v>
      </c>
      <c r="S112" s="488">
        <f t="shared" si="105"/>
        <v>38343.253999999994</v>
      </c>
      <c r="T112" s="488">
        <f t="shared" si="105"/>
        <v>38343.253999999994</v>
      </c>
      <c r="U112" s="488">
        <f t="shared" si="105"/>
        <v>38343.253999999994</v>
      </c>
      <c r="V112" s="488">
        <f t="shared" si="105"/>
        <v>38343.253999999994</v>
      </c>
      <c r="W112" s="488">
        <f t="shared" si="105"/>
        <v>38343.253999999994</v>
      </c>
      <c r="X112" s="488">
        <f t="shared" si="105"/>
        <v>38343.253999999994</v>
      </c>
      <c r="Y112" s="488">
        <f t="shared" si="105"/>
        <v>38343.253999999994</v>
      </c>
      <c r="Z112" s="488">
        <f t="shared" si="105"/>
        <v>38343.253999999994</v>
      </c>
      <c r="AA112" s="488">
        <f t="shared" si="64"/>
        <v>38151.537729999996</v>
      </c>
      <c r="AB112" s="488">
        <f t="shared" si="65"/>
        <v>37959.821459999992</v>
      </c>
      <c r="AC112" s="488">
        <f t="shared" si="66"/>
        <v>37768.105189999995</v>
      </c>
      <c r="AD112" s="488">
        <f t="shared" si="67"/>
        <v>37576.388919999998</v>
      </c>
      <c r="AE112" s="488">
        <f t="shared" si="68"/>
        <v>37384.67265</v>
      </c>
      <c r="AF112" s="488">
        <f t="shared" si="69"/>
        <v>37192.956379999996</v>
      </c>
      <c r="AG112" s="488">
        <f t="shared" si="70"/>
        <v>37001.240109999992</v>
      </c>
      <c r="AH112" s="488">
        <f t="shared" si="71"/>
        <v>36809.523839999994</v>
      </c>
      <c r="AI112" s="488">
        <f t="shared" si="72"/>
        <v>36617.80756999999</v>
      </c>
      <c r="AJ112" s="488">
        <f t="shared" si="73"/>
        <v>36426.091299999993</v>
      </c>
      <c r="AK112" s="488">
        <f t="shared" si="74"/>
        <v>36234.375029999996</v>
      </c>
      <c r="AL112" s="488">
        <f t="shared" si="75"/>
        <v>36042.658759999998</v>
      </c>
      <c r="AM112" s="488">
        <f t="shared" si="76"/>
        <v>35850.942489999994</v>
      </c>
      <c r="AN112" s="488">
        <f t="shared" si="77"/>
        <v>35659.226219999997</v>
      </c>
      <c r="AO112" s="488">
        <f t="shared" si="78"/>
        <v>35467.50995</v>
      </c>
      <c r="AP112" s="488">
        <f t="shared" si="79"/>
        <v>35275.793680000002</v>
      </c>
      <c r="AQ112" s="488">
        <f t="shared" si="80"/>
        <v>35084.077409999998</v>
      </c>
      <c r="AR112" s="488">
        <f t="shared" si="81"/>
        <v>34892.361139999994</v>
      </c>
      <c r="AS112" s="488">
        <f t="shared" si="82"/>
        <v>34700.644869999996</v>
      </c>
      <c r="AT112" s="488">
        <f t="shared" si="83"/>
        <v>34508.928599999992</v>
      </c>
      <c r="AU112" s="488"/>
      <c r="AV112" s="488"/>
      <c r="AW112" s="715"/>
      <c r="AX112" s="509" t="str">
        <f>B112&amp;"-"&amp;C112&amp;"-"&amp;E112</f>
        <v>LAC-wheat-Full till</v>
      </c>
    </row>
    <row r="113" spans="1:50" x14ac:dyDescent="0.2">
      <c r="A113" s="436"/>
      <c r="B113" s="962"/>
      <c r="C113" s="951"/>
      <c r="D113" s="467"/>
      <c r="E113" s="474" t="str">
        <f t="shared" si="84"/>
        <v>Reduced till</v>
      </c>
      <c r="F113" s="488">
        <f t="shared" si="100"/>
        <v>0</v>
      </c>
      <c r="G113" s="488">
        <f t="shared" si="100"/>
        <v>0</v>
      </c>
      <c r="H113" s="488">
        <f t="shared" si="100"/>
        <v>0</v>
      </c>
      <c r="I113" s="488">
        <f t="shared" ref="I113:Z113" si="106">$F90</f>
        <v>0</v>
      </c>
      <c r="J113" s="488">
        <f t="shared" si="106"/>
        <v>0</v>
      </c>
      <c r="K113" s="488">
        <f t="shared" si="106"/>
        <v>0</v>
      </c>
      <c r="L113" s="488">
        <f t="shared" si="106"/>
        <v>0</v>
      </c>
      <c r="M113" s="488">
        <f t="shared" si="106"/>
        <v>0</v>
      </c>
      <c r="N113" s="488">
        <f t="shared" si="106"/>
        <v>0</v>
      </c>
      <c r="O113" s="488">
        <f t="shared" si="106"/>
        <v>0</v>
      </c>
      <c r="P113" s="488">
        <f t="shared" si="106"/>
        <v>0</v>
      </c>
      <c r="Q113" s="488">
        <f t="shared" si="106"/>
        <v>0</v>
      </c>
      <c r="R113" s="488">
        <f t="shared" si="106"/>
        <v>0</v>
      </c>
      <c r="S113" s="488">
        <f t="shared" si="106"/>
        <v>0</v>
      </c>
      <c r="T113" s="488">
        <f t="shared" si="106"/>
        <v>0</v>
      </c>
      <c r="U113" s="488">
        <f t="shared" si="106"/>
        <v>0</v>
      </c>
      <c r="V113" s="488">
        <f t="shared" si="106"/>
        <v>0</v>
      </c>
      <c r="W113" s="488">
        <f t="shared" si="106"/>
        <v>0</v>
      </c>
      <c r="X113" s="488">
        <f t="shared" si="106"/>
        <v>0</v>
      </c>
      <c r="Y113" s="488">
        <f t="shared" si="106"/>
        <v>0</v>
      </c>
      <c r="Z113" s="488">
        <f t="shared" si="106"/>
        <v>0</v>
      </c>
      <c r="AA113" s="488">
        <f t="shared" si="64"/>
        <v>103.89003768000001</v>
      </c>
      <c r="AB113" s="488">
        <f t="shared" si="65"/>
        <v>207.78007536000001</v>
      </c>
      <c r="AC113" s="488">
        <f t="shared" si="66"/>
        <v>311.67011303999999</v>
      </c>
      <c r="AD113" s="488">
        <f t="shared" si="67"/>
        <v>415.56015072000002</v>
      </c>
      <c r="AE113" s="488">
        <f t="shared" si="68"/>
        <v>519.4501884</v>
      </c>
      <c r="AF113" s="488">
        <f t="shared" si="69"/>
        <v>623.34022608000009</v>
      </c>
      <c r="AG113" s="488">
        <f t="shared" si="70"/>
        <v>727.23026376000007</v>
      </c>
      <c r="AH113" s="488">
        <f t="shared" si="71"/>
        <v>831.12030144000005</v>
      </c>
      <c r="AI113" s="488">
        <f t="shared" si="72"/>
        <v>935.01033912000003</v>
      </c>
      <c r="AJ113" s="488">
        <f t="shared" si="73"/>
        <v>1038.9003768</v>
      </c>
      <c r="AK113" s="488">
        <f t="shared" si="74"/>
        <v>1142.79041448</v>
      </c>
      <c r="AL113" s="488">
        <f t="shared" si="75"/>
        <v>1246.68045216</v>
      </c>
      <c r="AM113" s="488">
        <f t="shared" si="76"/>
        <v>1350.5704898399997</v>
      </c>
      <c r="AN113" s="488">
        <f t="shared" si="77"/>
        <v>1454.4605275199999</v>
      </c>
      <c r="AO113" s="488">
        <f t="shared" si="78"/>
        <v>1558.3505651999999</v>
      </c>
      <c r="AP113" s="488">
        <f t="shared" si="79"/>
        <v>1662.2406028800001</v>
      </c>
      <c r="AQ113" s="488">
        <f t="shared" si="80"/>
        <v>1766.1306405600001</v>
      </c>
      <c r="AR113" s="488">
        <f t="shared" si="81"/>
        <v>1870.0206782400003</v>
      </c>
      <c r="AS113" s="488">
        <f t="shared" si="82"/>
        <v>1973.9107159200005</v>
      </c>
      <c r="AT113" s="488">
        <f t="shared" si="83"/>
        <v>2077.8007536000005</v>
      </c>
      <c r="AU113" s="488"/>
      <c r="AV113" s="488"/>
      <c r="AW113" s="715"/>
      <c r="AX113" s="509" t="str">
        <f>B112&amp;"-"&amp;C112&amp;"-"&amp;E113</f>
        <v>LAC-wheat-Reduced till</v>
      </c>
    </row>
    <row r="114" spans="1:50" x14ac:dyDescent="0.2">
      <c r="A114" s="436"/>
      <c r="B114" s="962"/>
      <c r="C114" s="951"/>
      <c r="D114" s="467"/>
      <c r="E114" s="474" t="str">
        <f t="shared" si="84"/>
        <v>No-till</v>
      </c>
      <c r="F114" s="488">
        <f t="shared" si="100"/>
        <v>0</v>
      </c>
      <c r="G114" s="488">
        <f t="shared" si="100"/>
        <v>0</v>
      </c>
      <c r="H114" s="488">
        <f t="shared" si="100"/>
        <v>0</v>
      </c>
      <c r="I114" s="488">
        <f t="shared" ref="I114:Z114" si="107">$F91</f>
        <v>0</v>
      </c>
      <c r="J114" s="488">
        <f t="shared" si="107"/>
        <v>0</v>
      </c>
      <c r="K114" s="488">
        <f t="shared" si="107"/>
        <v>0</v>
      </c>
      <c r="L114" s="488">
        <f t="shared" si="107"/>
        <v>0</v>
      </c>
      <c r="M114" s="488">
        <f t="shared" si="107"/>
        <v>0</v>
      </c>
      <c r="N114" s="488">
        <f t="shared" si="107"/>
        <v>0</v>
      </c>
      <c r="O114" s="488">
        <f t="shared" si="107"/>
        <v>0</v>
      </c>
      <c r="P114" s="488">
        <f t="shared" si="107"/>
        <v>0</v>
      </c>
      <c r="Q114" s="488">
        <f t="shared" si="107"/>
        <v>0</v>
      </c>
      <c r="R114" s="488">
        <f t="shared" si="107"/>
        <v>0</v>
      </c>
      <c r="S114" s="488">
        <f t="shared" si="107"/>
        <v>0</v>
      </c>
      <c r="T114" s="488">
        <f t="shared" si="107"/>
        <v>0</v>
      </c>
      <c r="U114" s="488">
        <f t="shared" si="107"/>
        <v>0</v>
      </c>
      <c r="V114" s="488">
        <f t="shared" si="107"/>
        <v>0</v>
      </c>
      <c r="W114" s="488">
        <f t="shared" si="107"/>
        <v>0</v>
      </c>
      <c r="X114" s="488">
        <f t="shared" si="107"/>
        <v>0</v>
      </c>
      <c r="Y114" s="488">
        <f t="shared" si="107"/>
        <v>0</v>
      </c>
      <c r="Z114" s="488">
        <f t="shared" si="107"/>
        <v>0</v>
      </c>
      <c r="AA114" s="488">
        <f t="shared" si="64"/>
        <v>109.13700928000003</v>
      </c>
      <c r="AB114" s="488">
        <f t="shared" si="65"/>
        <v>218.27401856000006</v>
      </c>
      <c r="AC114" s="488">
        <f t="shared" si="66"/>
        <v>327.41102784000003</v>
      </c>
      <c r="AD114" s="488">
        <f t="shared" si="67"/>
        <v>436.54803712000012</v>
      </c>
      <c r="AE114" s="488">
        <f t="shared" si="68"/>
        <v>545.68504640000015</v>
      </c>
      <c r="AF114" s="488">
        <f t="shared" si="69"/>
        <v>654.82205568000029</v>
      </c>
      <c r="AG114" s="488">
        <f t="shared" si="70"/>
        <v>763.95906496000032</v>
      </c>
      <c r="AH114" s="488">
        <f t="shared" si="71"/>
        <v>873.09607424000023</v>
      </c>
      <c r="AI114" s="488">
        <f t="shared" si="72"/>
        <v>982.23308352000026</v>
      </c>
      <c r="AJ114" s="488">
        <f t="shared" si="73"/>
        <v>1091.3700928000001</v>
      </c>
      <c r="AK114" s="488">
        <f t="shared" si="74"/>
        <v>1200.5071020800001</v>
      </c>
      <c r="AL114" s="488">
        <f t="shared" si="75"/>
        <v>1309.6441113600001</v>
      </c>
      <c r="AM114" s="488">
        <f t="shared" si="76"/>
        <v>1418.7811206400002</v>
      </c>
      <c r="AN114" s="488">
        <f t="shared" si="77"/>
        <v>1527.9181299200002</v>
      </c>
      <c r="AO114" s="488">
        <f t="shared" si="78"/>
        <v>1637.0551392000002</v>
      </c>
      <c r="AP114" s="488">
        <f t="shared" si="79"/>
        <v>1746.1921484800005</v>
      </c>
      <c r="AQ114" s="488">
        <f t="shared" si="80"/>
        <v>1855.3291577600005</v>
      </c>
      <c r="AR114" s="488">
        <f t="shared" si="81"/>
        <v>1964.4661670400008</v>
      </c>
      <c r="AS114" s="488">
        <f t="shared" si="82"/>
        <v>2073.6031763200008</v>
      </c>
      <c r="AT114" s="488">
        <f t="shared" si="83"/>
        <v>2182.7401856000006</v>
      </c>
      <c r="AU114" s="488"/>
      <c r="AV114" s="488"/>
      <c r="AW114" s="715"/>
      <c r="AX114" s="509" t="str">
        <f>B112&amp;"-"&amp;C112&amp;"-"&amp;E114</f>
        <v>LAC-wheat-No-till</v>
      </c>
    </row>
    <row r="115" spans="1:50" s="489" customFormat="1" ht="17" thickBot="1" x14ac:dyDescent="0.25">
      <c r="A115" s="436"/>
      <c r="B115" s="718"/>
      <c r="C115" s="719"/>
      <c r="D115" s="719"/>
      <c r="E115" s="784" t="s">
        <v>420</v>
      </c>
      <c r="F115" s="785">
        <f>SUM(F97:F114)</f>
        <v>1202639.7319999998</v>
      </c>
      <c r="G115" s="785">
        <f t="shared" ref="G115:AT115" si="108">SUM(G97:G114)</f>
        <v>1202639.7319999998</v>
      </c>
      <c r="H115" s="785">
        <f t="shared" si="108"/>
        <v>1202639.7319999998</v>
      </c>
      <c r="I115" s="785">
        <f t="shared" si="108"/>
        <v>1202639.7319999998</v>
      </c>
      <c r="J115" s="785">
        <f t="shared" si="108"/>
        <v>1202639.7319999998</v>
      </c>
      <c r="K115" s="785">
        <f t="shared" si="108"/>
        <v>1202639.7319999998</v>
      </c>
      <c r="L115" s="785">
        <f t="shared" si="108"/>
        <v>1202639.7319999998</v>
      </c>
      <c r="M115" s="785">
        <f t="shared" si="108"/>
        <v>1202639.7319999998</v>
      </c>
      <c r="N115" s="785">
        <f t="shared" si="108"/>
        <v>1202639.7319999998</v>
      </c>
      <c r="O115" s="785">
        <f t="shared" si="108"/>
        <v>1202639.7319999998</v>
      </c>
      <c r="P115" s="785">
        <f t="shared" si="108"/>
        <v>1202639.7319999998</v>
      </c>
      <c r="Q115" s="785">
        <f t="shared" si="108"/>
        <v>1202639.7319999998</v>
      </c>
      <c r="R115" s="785">
        <f t="shared" si="108"/>
        <v>1202639.7319999998</v>
      </c>
      <c r="S115" s="785">
        <f t="shared" si="108"/>
        <v>1202639.7319999998</v>
      </c>
      <c r="T115" s="785">
        <f t="shared" si="108"/>
        <v>1202639.7319999998</v>
      </c>
      <c r="U115" s="785">
        <f t="shared" si="108"/>
        <v>1202639.7319999998</v>
      </c>
      <c r="V115" s="785">
        <f t="shared" si="108"/>
        <v>1202639.7319999998</v>
      </c>
      <c r="W115" s="785">
        <f t="shared" si="108"/>
        <v>1202639.7319999998</v>
      </c>
      <c r="X115" s="785">
        <f t="shared" si="108"/>
        <v>1202639.7319999998</v>
      </c>
      <c r="Y115" s="785">
        <f t="shared" si="108"/>
        <v>1202639.7319999998</v>
      </c>
      <c r="Z115" s="785">
        <f t="shared" si="108"/>
        <v>1202639.7319999998</v>
      </c>
      <c r="AA115" s="785">
        <f t="shared" si="108"/>
        <v>1203308.1465036799</v>
      </c>
      <c r="AB115" s="785">
        <f t="shared" si="108"/>
        <v>1203976.56100736</v>
      </c>
      <c r="AC115" s="785">
        <f t="shared" si="108"/>
        <v>1204644.9755110401</v>
      </c>
      <c r="AD115" s="785">
        <f t="shared" si="108"/>
        <v>1205313.3900147197</v>
      </c>
      <c r="AE115" s="785">
        <f t="shared" si="108"/>
        <v>1205981.8045184</v>
      </c>
      <c r="AF115" s="785">
        <f t="shared" si="108"/>
        <v>1206650.2190220798</v>
      </c>
      <c r="AG115" s="785">
        <f t="shared" si="108"/>
        <v>1207318.6335257594</v>
      </c>
      <c r="AH115" s="785">
        <f t="shared" si="108"/>
        <v>1207987.0480294398</v>
      </c>
      <c r="AI115" s="785">
        <f t="shared" si="108"/>
        <v>1208655.4625331198</v>
      </c>
      <c r="AJ115" s="785">
        <f t="shared" si="108"/>
        <v>1209323.8770367994</v>
      </c>
      <c r="AK115" s="785">
        <f t="shared" si="108"/>
        <v>1209992.2915404795</v>
      </c>
      <c r="AL115" s="785">
        <f t="shared" si="108"/>
        <v>1210660.7060441601</v>
      </c>
      <c r="AM115" s="785">
        <f t="shared" si="108"/>
        <v>1211329.1205478399</v>
      </c>
      <c r="AN115" s="785">
        <f t="shared" si="108"/>
        <v>1211997.53505152</v>
      </c>
      <c r="AO115" s="785">
        <f t="shared" si="108"/>
        <v>1212665.9495552003</v>
      </c>
      <c r="AP115" s="785">
        <f t="shared" si="108"/>
        <v>1213334.3640588804</v>
      </c>
      <c r="AQ115" s="785">
        <f t="shared" si="108"/>
        <v>1214002.7785625602</v>
      </c>
      <c r="AR115" s="785">
        <f t="shared" si="108"/>
        <v>1214671.1930662401</v>
      </c>
      <c r="AS115" s="785">
        <f t="shared" si="108"/>
        <v>1215339.6075699201</v>
      </c>
      <c r="AT115" s="785">
        <f t="shared" si="108"/>
        <v>1216008.0220736</v>
      </c>
      <c r="AU115" s="720"/>
      <c r="AV115" s="720"/>
      <c r="AW115" s="721"/>
      <c r="AX115" s="510"/>
    </row>
    <row r="116" spans="1:50" x14ac:dyDescent="0.2">
      <c r="A116" s="436"/>
      <c r="G116" s="492"/>
      <c r="H116" s="492"/>
      <c r="I116" s="492"/>
      <c r="J116" s="492"/>
      <c r="K116" s="492"/>
      <c r="L116" s="492"/>
      <c r="M116" s="492"/>
      <c r="N116" s="492"/>
      <c r="O116" s="492"/>
      <c r="P116" s="492"/>
      <c r="Q116" s="492"/>
      <c r="R116" s="492"/>
      <c r="S116" s="492"/>
      <c r="T116" s="492"/>
      <c r="U116" s="492"/>
      <c r="V116" s="492"/>
      <c r="W116" s="492"/>
      <c r="X116" s="492"/>
      <c r="Y116" s="492"/>
      <c r="Z116" s="492"/>
      <c r="AA116" s="492"/>
      <c r="AB116" s="492"/>
      <c r="AC116" s="492"/>
      <c r="AD116" s="492"/>
      <c r="AE116" s="492"/>
      <c r="AF116" s="492"/>
      <c r="AG116" s="492"/>
      <c r="AH116" s="492"/>
      <c r="AI116" s="492"/>
      <c r="AJ116" s="492"/>
      <c r="AK116" s="492"/>
      <c r="AL116" s="492"/>
      <c r="AM116" s="492"/>
      <c r="AN116" s="492"/>
      <c r="AO116" s="492"/>
      <c r="AP116" s="492"/>
      <c r="AQ116" s="492"/>
      <c r="AR116" s="492"/>
      <c r="AS116" s="492"/>
      <c r="AT116" s="492"/>
      <c r="AU116" s="492"/>
      <c r="AV116" s="492"/>
    </row>
    <row r="117" spans="1:50" x14ac:dyDescent="0.2">
      <c r="G117" s="492"/>
      <c r="H117" s="492"/>
      <c r="I117" s="492"/>
      <c r="J117" s="492"/>
      <c r="K117" s="492"/>
      <c r="L117" s="492"/>
      <c r="M117" s="492"/>
      <c r="N117" s="492"/>
      <c r="O117" s="492"/>
      <c r="P117" s="492"/>
      <c r="Q117" s="492"/>
      <c r="R117" s="492"/>
      <c r="S117" s="492"/>
      <c r="T117" s="492"/>
      <c r="U117" s="492"/>
      <c r="V117" s="492"/>
      <c r="W117" s="492"/>
      <c r="X117" s="492"/>
      <c r="Y117" s="492"/>
      <c r="Z117" s="492"/>
      <c r="AA117" s="492"/>
      <c r="AB117" s="492"/>
      <c r="AC117" s="492"/>
      <c r="AD117" s="492"/>
      <c r="AE117" s="492"/>
      <c r="AF117" s="492"/>
      <c r="AG117" s="492"/>
      <c r="AH117" s="492"/>
      <c r="AI117" s="492"/>
      <c r="AJ117" s="492"/>
      <c r="AK117" s="492"/>
      <c r="AL117" s="492"/>
      <c r="AM117" s="492"/>
      <c r="AN117" s="492"/>
      <c r="AO117" s="492"/>
      <c r="AP117" s="492"/>
      <c r="AQ117" s="492"/>
      <c r="AR117" s="492"/>
      <c r="AS117" s="492"/>
      <c r="AT117" s="492"/>
      <c r="AU117" s="492"/>
      <c r="AV117" s="492"/>
    </row>
    <row r="118" spans="1:50" x14ac:dyDescent="0.2">
      <c r="F118" s="475" t="s">
        <v>383</v>
      </c>
      <c r="G118" s="475" t="s">
        <v>384</v>
      </c>
      <c r="H118" s="475" t="s">
        <v>385</v>
      </c>
      <c r="I118" s="475" t="s">
        <v>386</v>
      </c>
      <c r="J118" s="475" t="s">
        <v>387</v>
      </c>
      <c r="K118" s="475" t="s">
        <v>388</v>
      </c>
      <c r="L118" s="475" t="s">
        <v>389</v>
      </c>
      <c r="M118" s="475" t="s">
        <v>390</v>
      </c>
      <c r="N118" s="475" t="s">
        <v>391</v>
      </c>
      <c r="O118" s="475" t="s">
        <v>392</v>
      </c>
      <c r="P118" s="475" t="s">
        <v>393</v>
      </c>
      <c r="Q118" s="475" t="s">
        <v>394</v>
      </c>
      <c r="R118" s="475" t="s">
        <v>395</v>
      </c>
      <c r="S118" s="475" t="s">
        <v>396</v>
      </c>
      <c r="T118" s="475" t="s">
        <v>397</v>
      </c>
      <c r="U118" s="475" t="s">
        <v>398</v>
      </c>
      <c r="V118" s="475" t="s">
        <v>399</v>
      </c>
      <c r="W118" s="475" t="s">
        <v>400</v>
      </c>
      <c r="X118" s="475" t="s">
        <v>401</v>
      </c>
      <c r="Y118" s="475" t="s">
        <v>402</v>
      </c>
      <c r="Z118" s="475" t="s">
        <v>120</v>
      </c>
      <c r="AA118" s="475" t="s">
        <v>146</v>
      </c>
      <c r="AB118" s="475" t="s">
        <v>147</v>
      </c>
      <c r="AC118" s="475" t="s">
        <v>148</v>
      </c>
      <c r="AD118" s="475" t="s">
        <v>149</v>
      </c>
      <c r="AE118" s="475" t="s">
        <v>150</v>
      </c>
      <c r="AF118" s="475" t="s">
        <v>151</v>
      </c>
      <c r="AG118" s="475" t="s">
        <v>152</v>
      </c>
      <c r="AH118" s="475" t="s">
        <v>153</v>
      </c>
      <c r="AI118" s="475" t="s">
        <v>154</v>
      </c>
      <c r="AJ118" s="475" t="s">
        <v>121</v>
      </c>
      <c r="AK118" s="475" t="s">
        <v>403</v>
      </c>
      <c r="AL118" s="475" t="s">
        <v>404</v>
      </c>
      <c r="AM118" s="475" t="s">
        <v>405</v>
      </c>
      <c r="AN118" s="475" t="s">
        <v>406</v>
      </c>
      <c r="AO118" s="475" t="s">
        <v>407</v>
      </c>
      <c r="AP118" s="475" t="s">
        <v>408</v>
      </c>
      <c r="AQ118" s="475" t="s">
        <v>409</v>
      </c>
      <c r="AR118" s="475" t="s">
        <v>410</v>
      </c>
      <c r="AS118" s="475" t="s">
        <v>411</v>
      </c>
      <c r="AT118" s="475" t="s">
        <v>412</v>
      </c>
      <c r="AU118" s="492"/>
      <c r="AV118" s="492"/>
      <c r="AW118" s="492"/>
    </row>
    <row r="119" spans="1:50" x14ac:dyDescent="0.2">
      <c r="E119" s="493" t="s">
        <v>126</v>
      </c>
      <c r="F119" s="477">
        <v>2000</v>
      </c>
      <c r="G119" s="477">
        <v>2001</v>
      </c>
      <c r="H119" s="477">
        <v>2002</v>
      </c>
      <c r="I119" s="477">
        <v>2003</v>
      </c>
      <c r="J119" s="477">
        <v>2004</v>
      </c>
      <c r="K119" s="477">
        <v>2005</v>
      </c>
      <c r="L119" s="477">
        <v>2006</v>
      </c>
      <c r="M119" s="477">
        <v>2007</v>
      </c>
      <c r="N119" s="477">
        <v>2008</v>
      </c>
      <c r="O119" s="477">
        <v>2009</v>
      </c>
      <c r="P119" s="477">
        <v>2010</v>
      </c>
      <c r="Q119" s="477">
        <v>2011</v>
      </c>
      <c r="R119" s="477">
        <v>2012</v>
      </c>
      <c r="S119" s="477">
        <v>2013</v>
      </c>
      <c r="T119" s="477">
        <v>2014</v>
      </c>
      <c r="U119" s="477">
        <v>2015</v>
      </c>
      <c r="V119" s="477">
        <v>2016</v>
      </c>
      <c r="W119" s="477">
        <v>2017</v>
      </c>
      <c r="X119" s="477">
        <v>2018</v>
      </c>
      <c r="Y119" s="477">
        <v>2019</v>
      </c>
      <c r="Z119" s="477">
        <v>2020</v>
      </c>
      <c r="AA119" s="477">
        <v>2021</v>
      </c>
      <c r="AB119" s="477">
        <v>2022</v>
      </c>
      <c r="AC119" s="477">
        <v>2023</v>
      </c>
      <c r="AD119" s="477">
        <v>2024</v>
      </c>
      <c r="AE119" s="477">
        <v>2025</v>
      </c>
      <c r="AF119" s="477">
        <v>2026</v>
      </c>
      <c r="AG119" s="477">
        <v>2027</v>
      </c>
      <c r="AH119" s="477">
        <v>2028</v>
      </c>
      <c r="AI119" s="477">
        <v>2029</v>
      </c>
      <c r="AJ119" s="477">
        <v>2030</v>
      </c>
      <c r="AK119" s="477">
        <v>2031</v>
      </c>
      <c r="AL119" s="477">
        <v>2032</v>
      </c>
      <c r="AM119" s="477">
        <v>2033</v>
      </c>
      <c r="AN119" s="477">
        <v>2034</v>
      </c>
      <c r="AO119" s="477">
        <v>2035</v>
      </c>
      <c r="AP119" s="477">
        <v>2036</v>
      </c>
      <c r="AQ119" s="477">
        <v>2037</v>
      </c>
      <c r="AR119" s="477">
        <v>2038</v>
      </c>
      <c r="AS119" s="477">
        <v>2039</v>
      </c>
      <c r="AT119" s="477">
        <v>2040</v>
      </c>
      <c r="AU119" s="492"/>
      <c r="AV119" s="492"/>
      <c r="AW119" s="492"/>
    </row>
    <row r="120" spans="1:50" x14ac:dyDescent="0.2">
      <c r="D120" s="494" t="s">
        <v>732</v>
      </c>
      <c r="E120" s="495" t="s">
        <v>422</v>
      </c>
      <c r="F120" s="488">
        <f>(F92-F115)/20</f>
        <v>0</v>
      </c>
      <c r="G120" s="488">
        <f>(G92-G115)/20</f>
        <v>33.420725184003821</v>
      </c>
      <c r="H120" s="488">
        <f>(H92-H115)/20</f>
        <v>66.841450368007642</v>
      </c>
      <c r="I120" s="488">
        <f t="shared" ref="I120:AT120" si="109">(I92-I115)/20</f>
        <v>100.26217555201147</v>
      </c>
      <c r="J120" s="488">
        <f t="shared" si="109"/>
        <v>133.68290073599201</v>
      </c>
      <c r="K120" s="488">
        <f t="shared" si="109"/>
        <v>167.10362592000746</v>
      </c>
      <c r="L120" s="488">
        <f t="shared" si="109"/>
        <v>200.52435110399966</v>
      </c>
      <c r="M120" s="488">
        <f t="shared" si="109"/>
        <v>233.94507628798019</v>
      </c>
      <c r="N120" s="488">
        <f t="shared" si="109"/>
        <v>267.36580147199567</v>
      </c>
      <c r="O120" s="488">
        <f t="shared" si="109"/>
        <v>300.78652665599947</v>
      </c>
      <c r="P120" s="488">
        <f t="shared" si="109"/>
        <v>334.20725183998002</v>
      </c>
      <c r="Q120" s="488">
        <f t="shared" si="109"/>
        <v>367.62797702398382</v>
      </c>
      <c r="R120" s="488">
        <f t="shared" si="109"/>
        <v>401.04870220801092</v>
      </c>
      <c r="S120" s="488">
        <f t="shared" si="109"/>
        <v>434.46942739200313</v>
      </c>
      <c r="T120" s="488">
        <f t="shared" si="109"/>
        <v>467.89015257600693</v>
      </c>
      <c r="U120" s="488">
        <f t="shared" si="109"/>
        <v>501.31087776002244</v>
      </c>
      <c r="V120" s="488">
        <f t="shared" si="109"/>
        <v>534.73160294402624</v>
      </c>
      <c r="W120" s="488">
        <f t="shared" si="109"/>
        <v>568.15232812801844</v>
      </c>
      <c r="X120" s="488">
        <f t="shared" si="109"/>
        <v>601.57305331201064</v>
      </c>
      <c r="Y120" s="488">
        <f t="shared" si="109"/>
        <v>634.99377849601444</v>
      </c>
      <c r="Z120" s="488">
        <f t="shared" si="109"/>
        <v>668.41450368000665</v>
      </c>
      <c r="AA120" s="488">
        <f>(AA92-AA115)/20</f>
        <v>668.41450367999494</v>
      </c>
      <c r="AB120" s="488">
        <f t="shared" si="109"/>
        <v>668.41450368001824</v>
      </c>
      <c r="AC120" s="488">
        <f t="shared" si="109"/>
        <v>668.41450368000665</v>
      </c>
      <c r="AD120" s="488">
        <f t="shared" si="109"/>
        <v>668.41450368000665</v>
      </c>
      <c r="AE120" s="488">
        <f t="shared" si="109"/>
        <v>668.41450368000665</v>
      </c>
      <c r="AF120" s="488">
        <f t="shared" si="109"/>
        <v>668.41450367998334</v>
      </c>
      <c r="AG120" s="488">
        <f t="shared" si="109"/>
        <v>668.41450368001824</v>
      </c>
      <c r="AH120" s="488">
        <f t="shared" si="109"/>
        <v>668.41450368000665</v>
      </c>
      <c r="AI120" s="488">
        <f t="shared" si="109"/>
        <v>668.41450368000665</v>
      </c>
      <c r="AJ120" s="488">
        <f t="shared" si="109"/>
        <v>668.41450368000665</v>
      </c>
      <c r="AK120" s="488">
        <f t="shared" si="109"/>
        <v>668.41450368001824</v>
      </c>
      <c r="AL120" s="488">
        <f t="shared" si="109"/>
        <v>668.41450368000665</v>
      </c>
      <c r="AM120" s="488">
        <f t="shared" si="109"/>
        <v>668.41450368000665</v>
      </c>
      <c r="AN120" s="488">
        <f t="shared" si="109"/>
        <v>668.41450367999494</v>
      </c>
      <c r="AO120" s="488">
        <f t="shared" si="109"/>
        <v>668.41450367996003</v>
      </c>
      <c r="AP120" s="488">
        <f t="shared" si="109"/>
        <v>668.41450367997163</v>
      </c>
      <c r="AQ120" s="488">
        <f t="shared" si="109"/>
        <v>668.41450367999494</v>
      </c>
      <c r="AR120" s="488">
        <f t="shared" si="109"/>
        <v>668.41450367998334</v>
      </c>
      <c r="AS120" s="488">
        <f t="shared" si="109"/>
        <v>668.41450367999494</v>
      </c>
      <c r="AT120" s="488">
        <f t="shared" si="109"/>
        <v>668.41450367998334</v>
      </c>
      <c r="AU120" s="492"/>
      <c r="AV120" s="492"/>
      <c r="AW120" s="492"/>
    </row>
    <row r="121" spans="1:50" ht="18" x14ac:dyDescent="0.2">
      <c r="D121" s="496" t="s">
        <v>746</v>
      </c>
      <c r="E121" s="495" t="s">
        <v>748</v>
      </c>
      <c r="F121" s="497">
        <f>F120*-44/12</f>
        <v>0</v>
      </c>
      <c r="G121" s="497">
        <f>G120*-44/12</f>
        <v>-122.54265900801401</v>
      </c>
      <c r="H121" s="497">
        <f t="shared" ref="H121:AT121" si="110">H120*-44/12</f>
        <v>-245.08531801602803</v>
      </c>
      <c r="I121" s="497">
        <f t="shared" si="110"/>
        <v>-367.62797702404208</v>
      </c>
      <c r="J121" s="497">
        <f t="shared" si="110"/>
        <v>-490.17063603197067</v>
      </c>
      <c r="K121" s="497">
        <f t="shared" si="110"/>
        <v>-612.71329504002733</v>
      </c>
      <c r="L121" s="497">
        <f t="shared" si="110"/>
        <v>-735.25595404799878</v>
      </c>
      <c r="M121" s="497">
        <f t="shared" si="110"/>
        <v>-857.79861305592738</v>
      </c>
      <c r="N121" s="497">
        <f t="shared" si="110"/>
        <v>-980.34127206398409</v>
      </c>
      <c r="O121" s="497">
        <f t="shared" si="110"/>
        <v>-1102.8839310719979</v>
      </c>
      <c r="P121" s="497">
        <f t="shared" si="110"/>
        <v>-1225.4265900799267</v>
      </c>
      <c r="Q121" s="497">
        <f t="shared" si="110"/>
        <v>-1347.9692490879406</v>
      </c>
      <c r="R121" s="497">
        <f t="shared" si="110"/>
        <v>-1470.5119080960401</v>
      </c>
      <c r="S121" s="497">
        <f t="shared" si="110"/>
        <v>-1593.0545671040115</v>
      </c>
      <c r="T121" s="497">
        <f t="shared" si="110"/>
        <v>-1715.5972261120253</v>
      </c>
      <c r="U121" s="497">
        <f t="shared" si="110"/>
        <v>-1838.1398851200822</v>
      </c>
      <c r="V121" s="497">
        <f t="shared" si="110"/>
        <v>-1960.6825441280962</v>
      </c>
      <c r="W121" s="497">
        <f t="shared" si="110"/>
        <v>-2083.2252031360676</v>
      </c>
      <c r="X121" s="497">
        <f t="shared" si="110"/>
        <v>-2205.7678621440391</v>
      </c>
      <c r="Y121" s="497">
        <f t="shared" si="110"/>
        <v>-2328.3105211520528</v>
      </c>
      <c r="Z121" s="498">
        <f t="shared" si="110"/>
        <v>-2450.8531801600243</v>
      </c>
      <c r="AA121" s="497">
        <f t="shared" si="110"/>
        <v>-2450.8531801599815</v>
      </c>
      <c r="AB121" s="497">
        <f t="shared" si="110"/>
        <v>-2450.853180160067</v>
      </c>
      <c r="AC121" s="497">
        <f t="shared" si="110"/>
        <v>-2450.8531801600243</v>
      </c>
      <c r="AD121" s="497">
        <f t="shared" si="110"/>
        <v>-2450.8531801600243</v>
      </c>
      <c r="AE121" s="497">
        <f t="shared" si="110"/>
        <v>-2450.8531801600243</v>
      </c>
      <c r="AF121" s="497">
        <f t="shared" si="110"/>
        <v>-2450.8531801599388</v>
      </c>
      <c r="AG121" s="497">
        <f t="shared" si="110"/>
        <v>-2450.853180160067</v>
      </c>
      <c r="AH121" s="497">
        <f t="shared" si="110"/>
        <v>-2450.8531801600243</v>
      </c>
      <c r="AI121" s="497">
        <f t="shared" si="110"/>
        <v>-2450.8531801600243</v>
      </c>
      <c r="AJ121" s="497">
        <f t="shared" si="110"/>
        <v>-2450.8531801600243</v>
      </c>
      <c r="AK121" s="497">
        <f t="shared" si="110"/>
        <v>-2450.853180160067</v>
      </c>
      <c r="AL121" s="497">
        <f t="shared" si="110"/>
        <v>-2450.8531801600243</v>
      </c>
      <c r="AM121" s="497">
        <f t="shared" si="110"/>
        <v>-2450.8531801600243</v>
      </c>
      <c r="AN121" s="497">
        <f t="shared" si="110"/>
        <v>-2450.8531801599815</v>
      </c>
      <c r="AO121" s="497">
        <f t="shared" si="110"/>
        <v>-2450.8531801598533</v>
      </c>
      <c r="AP121" s="497">
        <f t="shared" si="110"/>
        <v>-2450.8531801598961</v>
      </c>
      <c r="AQ121" s="497">
        <f t="shared" si="110"/>
        <v>-2450.8531801599815</v>
      </c>
      <c r="AR121" s="497">
        <f t="shared" si="110"/>
        <v>-2450.8531801599388</v>
      </c>
      <c r="AS121" s="497">
        <f t="shared" si="110"/>
        <v>-2450.8531801599815</v>
      </c>
      <c r="AT121" s="498">
        <f t="shared" si="110"/>
        <v>-2450.8531801599388</v>
      </c>
      <c r="AU121" s="492"/>
      <c r="AV121" s="492"/>
      <c r="AW121" s="492"/>
    </row>
    <row r="122" spans="1:50" ht="18" x14ac:dyDescent="0.2">
      <c r="D122" s="496" t="s">
        <v>745</v>
      </c>
      <c r="E122" s="495" t="s">
        <v>734</v>
      </c>
      <c r="F122" s="488">
        <f>F121/1000</f>
        <v>0</v>
      </c>
      <c r="G122" s="488">
        <f>G121/1000</f>
        <v>-0.12254265900801402</v>
      </c>
      <c r="H122" s="488">
        <f>H121/1000</f>
        <v>-0.24508531801602804</v>
      </c>
      <c r="I122" s="488">
        <f t="shared" ref="I122:AT122" si="111">I121/1000</f>
        <v>-0.3676279770240421</v>
      </c>
      <c r="J122" s="488">
        <f t="shared" si="111"/>
        <v>-0.4901706360319707</v>
      </c>
      <c r="K122" s="488">
        <f t="shared" si="111"/>
        <v>-0.61271329504002736</v>
      </c>
      <c r="L122" s="488">
        <f t="shared" si="111"/>
        <v>-0.73525595404799882</v>
      </c>
      <c r="M122" s="488">
        <f t="shared" si="111"/>
        <v>-0.85779861305592742</v>
      </c>
      <c r="N122" s="488">
        <f t="shared" si="111"/>
        <v>-0.98034127206398414</v>
      </c>
      <c r="O122" s="488">
        <f t="shared" si="111"/>
        <v>-1.102883931071998</v>
      </c>
      <c r="P122" s="488">
        <f t="shared" si="111"/>
        <v>-1.2254265900799266</v>
      </c>
      <c r="Q122" s="488">
        <f t="shared" si="111"/>
        <v>-1.3479692490879407</v>
      </c>
      <c r="R122" s="488">
        <f t="shared" si="111"/>
        <v>-1.47051190809604</v>
      </c>
      <c r="S122" s="488">
        <f t="shared" si="111"/>
        <v>-1.5930545671040115</v>
      </c>
      <c r="T122" s="488">
        <f t="shared" si="111"/>
        <v>-1.7155972261120254</v>
      </c>
      <c r="U122" s="488">
        <f t="shared" si="111"/>
        <v>-1.8381398851200823</v>
      </c>
      <c r="V122" s="488">
        <f t="shared" si="111"/>
        <v>-1.9606825441280962</v>
      </c>
      <c r="W122" s="488">
        <f t="shared" si="111"/>
        <v>-2.0832252031360676</v>
      </c>
      <c r="X122" s="488">
        <f t="shared" si="111"/>
        <v>-2.2057678621440391</v>
      </c>
      <c r="Y122" s="488">
        <f t="shared" si="111"/>
        <v>-2.3283105211520527</v>
      </c>
      <c r="Z122" s="488">
        <f t="shared" si="111"/>
        <v>-2.4508531801600242</v>
      </c>
      <c r="AA122" s="488">
        <f t="shared" si="111"/>
        <v>-2.4508531801599815</v>
      </c>
      <c r="AB122" s="488">
        <f t="shared" si="111"/>
        <v>-2.4508531801600673</v>
      </c>
      <c r="AC122" s="488">
        <f t="shared" si="111"/>
        <v>-2.4508531801600242</v>
      </c>
      <c r="AD122" s="488">
        <f t="shared" si="111"/>
        <v>-2.4508531801600242</v>
      </c>
      <c r="AE122" s="488">
        <f t="shared" si="111"/>
        <v>-2.4508531801600242</v>
      </c>
      <c r="AF122" s="488">
        <f t="shared" si="111"/>
        <v>-2.4508531801599389</v>
      </c>
      <c r="AG122" s="488">
        <f t="shared" si="111"/>
        <v>-2.4508531801600673</v>
      </c>
      <c r="AH122" s="488">
        <f t="shared" si="111"/>
        <v>-2.4508531801600242</v>
      </c>
      <c r="AI122" s="488">
        <f t="shared" si="111"/>
        <v>-2.4508531801600242</v>
      </c>
      <c r="AJ122" s="488">
        <f t="shared" si="111"/>
        <v>-2.4508531801600242</v>
      </c>
      <c r="AK122" s="488">
        <f t="shared" si="111"/>
        <v>-2.4508531801600673</v>
      </c>
      <c r="AL122" s="488">
        <f t="shared" si="111"/>
        <v>-2.4508531801600242</v>
      </c>
      <c r="AM122" s="488">
        <f t="shared" si="111"/>
        <v>-2.4508531801600242</v>
      </c>
      <c r="AN122" s="488">
        <f t="shared" si="111"/>
        <v>-2.4508531801599815</v>
      </c>
      <c r="AO122" s="488">
        <f t="shared" si="111"/>
        <v>-2.4508531801598532</v>
      </c>
      <c r="AP122" s="488">
        <f t="shared" si="111"/>
        <v>-2.4508531801598958</v>
      </c>
      <c r="AQ122" s="488">
        <f t="shared" si="111"/>
        <v>-2.4508531801599815</v>
      </c>
      <c r="AR122" s="488">
        <f t="shared" si="111"/>
        <v>-2.4508531801599389</v>
      </c>
      <c r="AS122" s="488">
        <f t="shared" si="111"/>
        <v>-2.4508531801599815</v>
      </c>
      <c r="AT122" s="488">
        <f t="shared" si="111"/>
        <v>-2.4508531801599389</v>
      </c>
      <c r="AU122" s="492"/>
      <c r="AV122" s="492"/>
      <c r="AW122" s="492"/>
    </row>
    <row r="123" spans="1:50" x14ac:dyDescent="0.2">
      <c r="C123" s="499"/>
      <c r="D123" s="496" t="s">
        <v>733</v>
      </c>
      <c r="E123" s="495" t="s">
        <v>422</v>
      </c>
      <c r="F123" s="500">
        <f>F115+F120</f>
        <v>1202639.7319999998</v>
      </c>
      <c r="G123" s="500">
        <f>F123+G120</f>
        <v>1202673.1527251839</v>
      </c>
      <c r="H123" s="500">
        <f>G123+H120</f>
        <v>1202739.9941755519</v>
      </c>
      <c r="I123" s="500">
        <f>H123+I120</f>
        <v>1202840.256351104</v>
      </c>
      <c r="J123" s="500">
        <f t="shared" ref="J123:AQ123" si="112">I123+J120</f>
        <v>1202973.9392518401</v>
      </c>
      <c r="K123" s="500">
        <f t="shared" si="112"/>
        <v>1203141.04287776</v>
      </c>
      <c r="L123" s="500">
        <f t="shared" si="112"/>
        <v>1203341.5672288639</v>
      </c>
      <c r="M123" s="500">
        <f t="shared" si="112"/>
        <v>1203575.5123051519</v>
      </c>
      <c r="N123" s="500">
        <f t="shared" si="112"/>
        <v>1203842.8781066239</v>
      </c>
      <c r="O123" s="500">
        <f t="shared" si="112"/>
        <v>1204143.6646332799</v>
      </c>
      <c r="P123" s="500">
        <f t="shared" si="112"/>
        <v>1204477.8718851199</v>
      </c>
      <c r="Q123" s="500">
        <f t="shared" si="112"/>
        <v>1204845.499862144</v>
      </c>
      <c r="R123" s="500">
        <f t="shared" si="112"/>
        <v>1205246.5485643521</v>
      </c>
      <c r="S123" s="500">
        <f t="shared" si="112"/>
        <v>1205681.017991744</v>
      </c>
      <c r="T123" s="500">
        <f t="shared" si="112"/>
        <v>1206148.9081443199</v>
      </c>
      <c r="U123" s="500">
        <f t="shared" si="112"/>
        <v>1206650.2190220798</v>
      </c>
      <c r="V123" s="500">
        <f t="shared" si="112"/>
        <v>1207184.9506250238</v>
      </c>
      <c r="W123" s="500">
        <f t="shared" si="112"/>
        <v>1207753.1029531518</v>
      </c>
      <c r="X123" s="500">
        <f t="shared" si="112"/>
        <v>1208354.6760064638</v>
      </c>
      <c r="Y123" s="500">
        <f t="shared" si="112"/>
        <v>1208989.6697849599</v>
      </c>
      <c r="Z123" s="500">
        <f t="shared" si="112"/>
        <v>1209658.0842886399</v>
      </c>
      <c r="AA123" s="500">
        <f t="shared" si="112"/>
        <v>1210326.49879232</v>
      </c>
      <c r="AB123" s="500">
        <f t="shared" si="112"/>
        <v>1210994.9132960001</v>
      </c>
      <c r="AC123" s="500">
        <f t="shared" si="112"/>
        <v>1211663.3277996802</v>
      </c>
      <c r="AD123" s="500">
        <f t="shared" si="112"/>
        <v>1212331.7423033603</v>
      </c>
      <c r="AE123" s="500">
        <f t="shared" si="112"/>
        <v>1213000.1568070403</v>
      </c>
      <c r="AF123" s="500">
        <f t="shared" si="112"/>
        <v>1213668.5713107204</v>
      </c>
      <c r="AG123" s="500">
        <f t="shared" si="112"/>
        <v>1214336.9858144005</v>
      </c>
      <c r="AH123" s="500">
        <f t="shared" si="112"/>
        <v>1215005.4003180806</v>
      </c>
      <c r="AI123" s="500">
        <f t="shared" si="112"/>
        <v>1215673.8148217606</v>
      </c>
      <c r="AJ123" s="500">
        <f t="shared" si="112"/>
        <v>1216342.2293254407</v>
      </c>
      <c r="AK123" s="500">
        <f t="shared" si="112"/>
        <v>1217010.6438291208</v>
      </c>
      <c r="AL123" s="500">
        <f t="shared" si="112"/>
        <v>1217679.0583328009</v>
      </c>
      <c r="AM123" s="500">
        <f t="shared" si="112"/>
        <v>1218347.4728364809</v>
      </c>
      <c r="AN123" s="500">
        <f t="shared" si="112"/>
        <v>1219015.887340161</v>
      </c>
      <c r="AO123" s="500">
        <f t="shared" si="112"/>
        <v>1219684.3018438411</v>
      </c>
      <c r="AP123" s="500">
        <f t="shared" si="112"/>
        <v>1220352.7163475212</v>
      </c>
      <c r="AQ123" s="500">
        <f t="shared" si="112"/>
        <v>1221021.1308512012</v>
      </c>
      <c r="AR123" s="500">
        <f>AQ123+AR120</f>
        <v>1221689.5453548813</v>
      </c>
      <c r="AS123" s="500">
        <f>AR123+AS120</f>
        <v>1222357.9598585614</v>
      </c>
      <c r="AT123" s="500">
        <f>AS123+AT120</f>
        <v>1223026.3743622415</v>
      </c>
      <c r="AU123" s="492"/>
      <c r="AV123" s="492"/>
      <c r="AW123" s="492"/>
    </row>
    <row r="124" spans="1:50" s="436" customFormat="1" x14ac:dyDescent="0.2">
      <c r="AX124"/>
    </row>
    <row r="125" spans="1:50" s="445" customFormat="1" ht="18" x14ac:dyDescent="0.2">
      <c r="A125" s="437">
        <v>4</v>
      </c>
      <c r="B125" s="438" t="s">
        <v>861</v>
      </c>
      <c r="C125" s="438"/>
      <c r="D125" s="438"/>
      <c r="E125" s="439"/>
      <c r="F125" s="439"/>
      <c r="G125" s="440"/>
      <c r="H125" s="441"/>
      <c r="I125" s="442"/>
      <c r="J125" s="443"/>
      <c r="K125" s="443"/>
      <c r="L125" s="442"/>
      <c r="M125" s="443"/>
      <c r="N125" s="444"/>
      <c r="O125" s="444"/>
      <c r="AX125" s="317"/>
    </row>
    <row r="126" spans="1:50" s="436" customFormat="1" ht="51.75" customHeight="1" x14ac:dyDescent="0.2">
      <c r="A126" s="454"/>
      <c r="B126" s="954" t="s">
        <v>857</v>
      </c>
      <c r="C126" s="954"/>
      <c r="D126" s="954"/>
      <c r="E126" s="954"/>
      <c r="F126" s="954"/>
      <c r="O126" s="464"/>
      <c r="P126" s="454"/>
      <c r="AX126"/>
    </row>
    <row r="127" spans="1:50" s="763" customFormat="1" ht="24" customHeight="1" thickBot="1" x14ac:dyDescent="0.25">
      <c r="A127" s="771"/>
      <c r="B127" s="846" t="s">
        <v>843</v>
      </c>
      <c r="C127" s="762"/>
      <c r="D127" s="762"/>
      <c r="E127" s="762"/>
      <c r="F127" s="762"/>
      <c r="O127" s="772"/>
      <c r="P127" s="771"/>
      <c r="AX127" s="764"/>
    </row>
    <row r="128" spans="1:50" s="454" customFormat="1" ht="19" thickBot="1" x14ac:dyDescent="0.25">
      <c r="A128" s="436"/>
      <c r="B128" s="693" t="s">
        <v>423</v>
      </c>
      <c r="C128" s="694"/>
      <c r="D128" s="695"/>
      <c r="E128" s="696"/>
      <c r="F128" s="694"/>
      <c r="G128" s="696"/>
      <c r="H128" s="696"/>
      <c r="I128" s="696"/>
      <c r="J128" s="696"/>
      <c r="K128" s="696"/>
      <c r="L128" s="696"/>
      <c r="M128" s="696"/>
      <c r="N128" s="696"/>
      <c r="O128" s="697"/>
      <c r="P128" s="697"/>
      <c r="Q128" s="697"/>
      <c r="R128" s="697"/>
      <c r="S128" s="697"/>
      <c r="T128" s="697"/>
      <c r="U128" s="697"/>
      <c r="V128" s="697"/>
      <c r="W128" s="697"/>
      <c r="X128" s="697"/>
      <c r="Y128" s="697"/>
      <c r="Z128" s="697"/>
      <c r="AA128" s="697"/>
      <c r="AB128" s="697"/>
      <c r="AC128" s="697"/>
      <c r="AD128" s="697"/>
      <c r="AE128" s="697"/>
      <c r="AF128" s="697"/>
      <c r="AG128" s="697"/>
      <c r="AH128" s="697"/>
      <c r="AI128" s="697"/>
      <c r="AJ128" s="697"/>
      <c r="AK128" s="697"/>
      <c r="AL128" s="697"/>
      <c r="AM128" s="697"/>
      <c r="AN128" s="697"/>
      <c r="AO128" s="697"/>
      <c r="AP128" s="697"/>
      <c r="AQ128" s="697"/>
      <c r="AR128" s="697"/>
      <c r="AS128" s="697"/>
      <c r="AT128" s="697"/>
      <c r="AU128" s="697"/>
      <c r="AV128" s="697"/>
      <c r="AW128" s="698"/>
      <c r="AX128" s="24"/>
    </row>
    <row r="129" spans="1:50" customFormat="1" ht="17" thickBot="1" x14ac:dyDescent="0.25"/>
    <row r="130" spans="1:50" s="454" customFormat="1" ht="21.75" customHeight="1" thickBot="1" x14ac:dyDescent="0.25">
      <c r="A130" s="501"/>
      <c r="B130" s="787" t="s">
        <v>731</v>
      </c>
      <c r="C130" s="786"/>
      <c r="D130" s="786"/>
      <c r="E130" s="786"/>
      <c r="F130" s="786"/>
      <c r="G130" s="786"/>
      <c r="H130" s="786"/>
      <c r="I130" s="786"/>
      <c r="J130" s="786"/>
      <c r="K130" s="786"/>
      <c r="L130" s="786"/>
      <c r="M130" s="786"/>
      <c r="N130" s="786"/>
      <c r="O130" s="786"/>
      <c r="P130" s="786"/>
      <c r="Q130" s="786"/>
      <c r="R130" s="786"/>
      <c r="S130" s="786"/>
      <c r="T130" s="786"/>
      <c r="U130" s="786"/>
      <c r="V130" s="786"/>
      <c r="W130" s="786"/>
      <c r="X130" s="786"/>
      <c r="Y130" s="786"/>
      <c r="Z130" s="786"/>
      <c r="AA130" s="786"/>
      <c r="AB130" s="786"/>
      <c r="AC130" s="786"/>
      <c r="AD130" s="786"/>
      <c r="AE130" s="786"/>
      <c r="AF130" s="786"/>
      <c r="AG130" s="786"/>
      <c r="AH130" s="786"/>
      <c r="AI130" s="786"/>
      <c r="AJ130" s="786"/>
      <c r="AK130" s="786"/>
      <c r="AL130" s="786"/>
      <c r="AM130" s="786"/>
      <c r="AN130" s="786"/>
      <c r="AO130" s="786"/>
      <c r="AP130" s="786"/>
      <c r="AQ130" s="786"/>
      <c r="AR130" s="786"/>
      <c r="AS130" s="786"/>
      <c r="AT130" s="786"/>
      <c r="AU130" s="786"/>
      <c r="AV130" s="786"/>
      <c r="AW130" s="788"/>
      <c r="AX130" s="24"/>
    </row>
    <row r="131" spans="1:50" x14ac:dyDescent="0.2">
      <c r="A131" s="779"/>
      <c r="B131" s="722" t="s">
        <v>382</v>
      </c>
      <c r="C131" s="722"/>
      <c r="D131" s="722"/>
      <c r="E131" s="722"/>
      <c r="F131" s="722"/>
      <c r="G131" s="701"/>
      <c r="H131" s="701"/>
      <c r="I131" s="701"/>
      <c r="J131" s="701"/>
      <c r="K131" s="701"/>
      <c r="L131" s="701"/>
      <c r="M131" s="701"/>
      <c r="N131" s="701"/>
      <c r="O131" s="701"/>
      <c r="P131" s="701"/>
      <c r="Q131" s="701"/>
      <c r="R131" s="701"/>
      <c r="S131" s="701"/>
      <c r="T131" s="701"/>
      <c r="U131" s="701"/>
      <c r="V131" s="701"/>
      <c r="W131" s="701"/>
      <c r="X131" s="701"/>
      <c r="Y131" s="701"/>
      <c r="Z131" s="701"/>
      <c r="AA131" s="701"/>
      <c r="AB131" s="701"/>
      <c r="AC131" s="701"/>
      <c r="AD131" s="701"/>
      <c r="AE131" s="701"/>
      <c r="AF131" s="701"/>
      <c r="AG131" s="701"/>
      <c r="AH131" s="701"/>
      <c r="AI131" s="701"/>
      <c r="AJ131" s="701"/>
      <c r="AK131" s="701"/>
      <c r="AL131" s="701"/>
      <c r="AM131" s="701"/>
      <c r="AN131" s="701"/>
      <c r="AO131" s="701"/>
      <c r="AP131" s="701"/>
      <c r="AQ131" s="701"/>
      <c r="AR131" s="701"/>
      <c r="AS131" s="701"/>
      <c r="AT131" s="701"/>
      <c r="AU131" s="701"/>
      <c r="AV131" s="701"/>
      <c r="AW131" s="702"/>
    </row>
    <row r="132" spans="1:50" ht="18" x14ac:dyDescent="0.2">
      <c r="A132" s="436"/>
      <c r="B132" s="749"/>
      <c r="C132" s="746"/>
      <c r="D132" s="746"/>
      <c r="E132" s="748"/>
      <c r="F132" s="475" t="s">
        <v>383</v>
      </c>
      <c r="G132" s="475" t="s">
        <v>384</v>
      </c>
      <c r="H132" s="475" t="s">
        <v>385</v>
      </c>
      <c r="I132" s="475" t="s">
        <v>386</v>
      </c>
      <c r="J132" s="475" t="s">
        <v>387</v>
      </c>
      <c r="K132" s="475" t="s">
        <v>388</v>
      </c>
      <c r="L132" s="475" t="s">
        <v>389</v>
      </c>
      <c r="M132" s="475" t="s">
        <v>390</v>
      </c>
      <c r="N132" s="475" t="s">
        <v>391</v>
      </c>
      <c r="O132" s="475" t="s">
        <v>392</v>
      </c>
      <c r="P132" s="475" t="s">
        <v>393</v>
      </c>
      <c r="Q132" s="475" t="s">
        <v>394</v>
      </c>
      <c r="R132" s="475" t="s">
        <v>395</v>
      </c>
      <c r="S132" s="475" t="s">
        <v>396</v>
      </c>
      <c r="T132" s="475" t="s">
        <v>397</v>
      </c>
      <c r="U132" s="475" t="s">
        <v>398</v>
      </c>
      <c r="V132" s="475" t="s">
        <v>399</v>
      </c>
      <c r="W132" s="475" t="s">
        <v>400</v>
      </c>
      <c r="X132" s="475" t="s">
        <v>401</v>
      </c>
      <c r="Y132" s="475" t="s">
        <v>402</v>
      </c>
      <c r="Z132" s="475" t="s">
        <v>120</v>
      </c>
      <c r="AA132" s="475" t="s">
        <v>146</v>
      </c>
      <c r="AB132" s="475" t="s">
        <v>147</v>
      </c>
      <c r="AC132" s="475" t="s">
        <v>148</v>
      </c>
      <c r="AD132" s="475" t="s">
        <v>149</v>
      </c>
      <c r="AE132" s="475" t="s">
        <v>150</v>
      </c>
      <c r="AF132" s="475" t="s">
        <v>151</v>
      </c>
      <c r="AG132" s="475" t="s">
        <v>152</v>
      </c>
      <c r="AH132" s="475" t="s">
        <v>153</v>
      </c>
      <c r="AI132" s="475" t="s">
        <v>154</v>
      </c>
      <c r="AJ132" s="475" t="s">
        <v>121</v>
      </c>
      <c r="AK132" s="475" t="s">
        <v>403</v>
      </c>
      <c r="AL132" s="475" t="s">
        <v>404</v>
      </c>
      <c r="AM132" s="475" t="s">
        <v>405</v>
      </c>
      <c r="AN132" s="475" t="s">
        <v>406</v>
      </c>
      <c r="AO132" s="475" t="s">
        <v>407</v>
      </c>
      <c r="AP132" s="475" t="s">
        <v>408</v>
      </c>
      <c r="AQ132" s="475" t="s">
        <v>409</v>
      </c>
      <c r="AR132" s="475" t="s">
        <v>410</v>
      </c>
      <c r="AS132" s="475" t="s">
        <v>411</v>
      </c>
      <c r="AT132" s="475" t="s">
        <v>412</v>
      </c>
      <c r="AU132" s="948" t="s">
        <v>606</v>
      </c>
      <c r="AV132" s="948" t="s">
        <v>607</v>
      </c>
      <c r="AW132" s="714" t="s">
        <v>155</v>
      </c>
    </row>
    <row r="133" spans="1:50" ht="17" x14ac:dyDescent="0.2">
      <c r="A133" s="436"/>
      <c r="B133" s="704" t="s">
        <v>413</v>
      </c>
      <c r="C133" s="477" t="s">
        <v>370</v>
      </c>
      <c r="D133" s="477" t="s">
        <v>414</v>
      </c>
      <c r="E133" s="478" t="s">
        <v>415</v>
      </c>
      <c r="F133" s="477">
        <v>2000</v>
      </c>
      <c r="G133" s="477">
        <v>2001</v>
      </c>
      <c r="H133" s="477">
        <v>2002</v>
      </c>
      <c r="I133" s="477">
        <v>2003</v>
      </c>
      <c r="J133" s="477">
        <v>2004</v>
      </c>
      <c r="K133" s="477">
        <v>2005</v>
      </c>
      <c r="L133" s="477">
        <v>2006</v>
      </c>
      <c r="M133" s="477">
        <v>2007</v>
      </c>
      <c r="N133" s="477">
        <v>2008</v>
      </c>
      <c r="O133" s="477">
        <v>2009</v>
      </c>
      <c r="P133" s="477">
        <v>2010</v>
      </c>
      <c r="Q133" s="477">
        <v>2011</v>
      </c>
      <c r="R133" s="477">
        <v>2012</v>
      </c>
      <c r="S133" s="477">
        <v>2013</v>
      </c>
      <c r="T133" s="477">
        <v>2014</v>
      </c>
      <c r="U133" s="477">
        <v>2015</v>
      </c>
      <c r="V133" s="477">
        <v>2016</v>
      </c>
      <c r="W133" s="477">
        <v>2017</v>
      </c>
      <c r="X133" s="477">
        <v>2018</v>
      </c>
      <c r="Y133" s="477">
        <v>2019</v>
      </c>
      <c r="Z133" s="477">
        <v>2020</v>
      </c>
      <c r="AA133" s="477">
        <v>2021</v>
      </c>
      <c r="AB133" s="477">
        <v>2022</v>
      </c>
      <c r="AC133" s="477">
        <v>2023</v>
      </c>
      <c r="AD133" s="477">
        <v>2024</v>
      </c>
      <c r="AE133" s="477">
        <v>2025</v>
      </c>
      <c r="AF133" s="477">
        <v>2026</v>
      </c>
      <c r="AG133" s="477">
        <v>2027</v>
      </c>
      <c r="AH133" s="477">
        <v>2028</v>
      </c>
      <c r="AI133" s="477">
        <v>2029</v>
      </c>
      <c r="AJ133" s="477">
        <v>2030</v>
      </c>
      <c r="AK133" s="477">
        <v>2031</v>
      </c>
      <c r="AL133" s="477">
        <v>2032</v>
      </c>
      <c r="AM133" s="477">
        <v>2033</v>
      </c>
      <c r="AN133" s="477">
        <v>2034</v>
      </c>
      <c r="AO133" s="477">
        <v>2035</v>
      </c>
      <c r="AP133" s="477">
        <v>2036</v>
      </c>
      <c r="AQ133" s="477">
        <v>2037</v>
      </c>
      <c r="AR133" s="477">
        <v>2038</v>
      </c>
      <c r="AS133" s="477">
        <v>2039</v>
      </c>
      <c r="AT133" s="477">
        <v>2040</v>
      </c>
      <c r="AU133" s="949"/>
      <c r="AV133" s="949"/>
      <c r="AW133" s="723" t="s">
        <v>424</v>
      </c>
    </row>
    <row r="134" spans="1:50" ht="33" customHeight="1" x14ac:dyDescent="0.2">
      <c r="A134" s="436"/>
      <c r="B134" s="962" t="str">
        <f>B52</f>
        <v>HAC</v>
      </c>
      <c r="C134" s="951" t="str">
        <f>C52</f>
        <v>corn-soy-alfalfa-alfalfa</v>
      </c>
      <c r="D134" s="467">
        <f>D52</f>
        <v>23738.289999999997</v>
      </c>
      <c r="E134" s="474" t="str">
        <f>E52</f>
        <v>Full till</v>
      </c>
      <c r="F134" s="467">
        <v>1</v>
      </c>
      <c r="G134" s="467">
        <f>1-SUM(G135:G136)</f>
        <v>0.96250000000000002</v>
      </c>
      <c r="H134" s="467">
        <f t="shared" ref="H134:AT134" si="113">1-SUM(H135:H136)</f>
        <v>0.92500000000000004</v>
      </c>
      <c r="I134" s="467">
        <f t="shared" si="113"/>
        <v>0.88749999999999996</v>
      </c>
      <c r="J134" s="467">
        <f t="shared" si="113"/>
        <v>0.85</v>
      </c>
      <c r="K134" s="467">
        <f t="shared" si="113"/>
        <v>0.8125</v>
      </c>
      <c r="L134" s="467">
        <f t="shared" si="113"/>
        <v>0.77500000000000002</v>
      </c>
      <c r="M134" s="467">
        <f t="shared" si="113"/>
        <v>0.73750000000000004</v>
      </c>
      <c r="N134" s="467">
        <f t="shared" si="113"/>
        <v>0.7</v>
      </c>
      <c r="O134" s="467">
        <f t="shared" si="113"/>
        <v>0.66250000000000009</v>
      </c>
      <c r="P134" s="467">
        <f t="shared" si="113"/>
        <v>0.625</v>
      </c>
      <c r="Q134" s="467">
        <f t="shared" si="113"/>
        <v>0.58750000000000002</v>
      </c>
      <c r="R134" s="467">
        <f t="shared" si="113"/>
        <v>0.55000000000000004</v>
      </c>
      <c r="S134" s="467">
        <f t="shared" si="113"/>
        <v>0.51249999999999996</v>
      </c>
      <c r="T134" s="467">
        <f t="shared" si="113"/>
        <v>0.47499999999999998</v>
      </c>
      <c r="U134" s="467">
        <f t="shared" si="113"/>
        <v>0.43749999999999989</v>
      </c>
      <c r="V134" s="467">
        <f t="shared" si="113"/>
        <v>0.39999999999999991</v>
      </c>
      <c r="W134" s="467">
        <f t="shared" si="113"/>
        <v>0.36249999999999982</v>
      </c>
      <c r="X134" s="467">
        <f t="shared" si="113"/>
        <v>0.32499999999999984</v>
      </c>
      <c r="Y134" s="467">
        <f t="shared" si="113"/>
        <v>0.28749999999999976</v>
      </c>
      <c r="Z134" s="467">
        <f t="shared" si="113"/>
        <v>0.24999999999999978</v>
      </c>
      <c r="AA134" s="467">
        <f>1-SUM(AA135:AA136)</f>
        <v>0.24999999999999978</v>
      </c>
      <c r="AB134" s="467">
        <f t="shared" si="113"/>
        <v>0.24999999999999978</v>
      </c>
      <c r="AC134" s="467">
        <f t="shared" si="113"/>
        <v>0.24999999999999978</v>
      </c>
      <c r="AD134" s="467">
        <f t="shared" si="113"/>
        <v>0.24999999999999978</v>
      </c>
      <c r="AE134" s="467">
        <f t="shared" si="113"/>
        <v>0.24999999999999978</v>
      </c>
      <c r="AF134" s="467">
        <f t="shared" si="113"/>
        <v>0.24999999999999978</v>
      </c>
      <c r="AG134" s="467">
        <f t="shared" si="113"/>
        <v>0.24999999999999978</v>
      </c>
      <c r="AH134" s="467">
        <f t="shared" si="113"/>
        <v>0.24999999999999978</v>
      </c>
      <c r="AI134" s="467">
        <f t="shared" si="113"/>
        <v>0.24999999999999978</v>
      </c>
      <c r="AJ134" s="467">
        <f t="shared" si="113"/>
        <v>0.24999999999999978</v>
      </c>
      <c r="AK134" s="467">
        <f t="shared" si="113"/>
        <v>0.24999999999999978</v>
      </c>
      <c r="AL134" s="467">
        <f t="shared" si="113"/>
        <v>0.24999999999999978</v>
      </c>
      <c r="AM134" s="467">
        <f t="shared" si="113"/>
        <v>0.24999999999999978</v>
      </c>
      <c r="AN134" s="467">
        <f t="shared" si="113"/>
        <v>0.24999999999999978</v>
      </c>
      <c r="AO134" s="467">
        <f t="shared" si="113"/>
        <v>0.24999999999999978</v>
      </c>
      <c r="AP134" s="467">
        <f t="shared" si="113"/>
        <v>0.24999999999999978</v>
      </c>
      <c r="AQ134" s="467">
        <f t="shared" si="113"/>
        <v>0.24999999999999978</v>
      </c>
      <c r="AR134" s="467">
        <f t="shared" si="113"/>
        <v>0.24999999999999978</v>
      </c>
      <c r="AS134" s="467">
        <f t="shared" si="113"/>
        <v>0.24999999999999978</v>
      </c>
      <c r="AT134" s="467">
        <f t="shared" si="113"/>
        <v>0.24999999999999978</v>
      </c>
      <c r="AU134" s="502"/>
      <c r="AV134" s="502"/>
      <c r="AW134" s="716" t="s">
        <v>425</v>
      </c>
    </row>
    <row r="135" spans="1:50" ht="17" x14ac:dyDescent="0.2">
      <c r="A135" s="436"/>
      <c r="B135" s="962"/>
      <c r="C135" s="951"/>
      <c r="D135" s="467"/>
      <c r="E135" s="474" t="str">
        <f t="shared" ref="E135:E151" si="114">E53</f>
        <v>Reduced till</v>
      </c>
      <c r="F135" s="467">
        <v>0</v>
      </c>
      <c r="G135" s="467">
        <f>$AU135/20</f>
        <v>1.2500000000000001E-2</v>
      </c>
      <c r="H135" s="467">
        <f>($AU135/20)+G135</f>
        <v>2.5000000000000001E-2</v>
      </c>
      <c r="I135" s="467">
        <f t="shared" ref="I135:X136" si="115">($AU135/20)+H135</f>
        <v>3.7500000000000006E-2</v>
      </c>
      <c r="J135" s="467">
        <f t="shared" si="115"/>
        <v>0.05</v>
      </c>
      <c r="K135" s="467">
        <f t="shared" si="115"/>
        <v>6.25E-2</v>
      </c>
      <c r="L135" s="467">
        <f t="shared" si="115"/>
        <v>7.4999999999999997E-2</v>
      </c>
      <c r="M135" s="467">
        <f t="shared" si="115"/>
        <v>8.7499999999999994E-2</v>
      </c>
      <c r="N135" s="467">
        <f t="shared" si="115"/>
        <v>9.9999999999999992E-2</v>
      </c>
      <c r="O135" s="467">
        <f t="shared" si="115"/>
        <v>0.11249999999999999</v>
      </c>
      <c r="P135" s="467">
        <f t="shared" si="115"/>
        <v>0.12499999999999999</v>
      </c>
      <c r="Q135" s="467">
        <f t="shared" si="115"/>
        <v>0.13749999999999998</v>
      </c>
      <c r="R135" s="467">
        <f t="shared" si="115"/>
        <v>0.15</v>
      </c>
      <c r="S135" s="467">
        <f t="shared" si="115"/>
        <v>0.16250000000000001</v>
      </c>
      <c r="T135" s="467">
        <f t="shared" si="115"/>
        <v>0.17500000000000002</v>
      </c>
      <c r="U135" s="467">
        <f t="shared" si="115"/>
        <v>0.18750000000000003</v>
      </c>
      <c r="V135" s="467">
        <f t="shared" si="115"/>
        <v>0.20000000000000004</v>
      </c>
      <c r="W135" s="467">
        <f t="shared" si="115"/>
        <v>0.21250000000000005</v>
      </c>
      <c r="X135" s="467">
        <f t="shared" si="115"/>
        <v>0.22500000000000006</v>
      </c>
      <c r="Y135" s="467">
        <f t="shared" ref="Y135:Z136" si="116">($AU135/20)+X135</f>
        <v>0.23750000000000007</v>
      </c>
      <c r="Z135" s="467">
        <f t="shared" si="116"/>
        <v>0.25000000000000006</v>
      </c>
      <c r="AA135" s="467">
        <f>(($AV135-$AU135)/20)+Z135</f>
        <v>0.25000000000000006</v>
      </c>
      <c r="AB135" s="467">
        <f t="shared" ref="AB135:AQ136" si="117">(($AV135-$AU135)/20)+AA135</f>
        <v>0.25000000000000006</v>
      </c>
      <c r="AC135" s="467">
        <f t="shared" si="117"/>
        <v>0.25000000000000006</v>
      </c>
      <c r="AD135" s="467">
        <f t="shared" si="117"/>
        <v>0.25000000000000006</v>
      </c>
      <c r="AE135" s="467">
        <f t="shared" si="117"/>
        <v>0.25000000000000006</v>
      </c>
      <c r="AF135" s="467">
        <f t="shared" si="117"/>
        <v>0.25000000000000006</v>
      </c>
      <c r="AG135" s="467">
        <f t="shared" si="117"/>
        <v>0.25000000000000006</v>
      </c>
      <c r="AH135" s="467">
        <f t="shared" si="117"/>
        <v>0.25000000000000006</v>
      </c>
      <c r="AI135" s="467">
        <f t="shared" si="117"/>
        <v>0.25000000000000006</v>
      </c>
      <c r="AJ135" s="467">
        <f t="shared" si="117"/>
        <v>0.25000000000000006</v>
      </c>
      <c r="AK135" s="467">
        <f t="shared" si="117"/>
        <v>0.25000000000000006</v>
      </c>
      <c r="AL135" s="467">
        <f t="shared" si="117"/>
        <v>0.25000000000000006</v>
      </c>
      <c r="AM135" s="467">
        <f t="shared" si="117"/>
        <v>0.25000000000000006</v>
      </c>
      <c r="AN135" s="467">
        <f t="shared" si="117"/>
        <v>0.25000000000000006</v>
      </c>
      <c r="AO135" s="467">
        <f t="shared" si="117"/>
        <v>0.25000000000000006</v>
      </c>
      <c r="AP135" s="467">
        <f t="shared" si="117"/>
        <v>0.25000000000000006</v>
      </c>
      <c r="AQ135" s="467">
        <f t="shared" si="117"/>
        <v>0.25000000000000006</v>
      </c>
      <c r="AR135" s="467">
        <f t="shared" ref="AR135:AT136" si="118">(($AV135-$AU135)/20)+AQ135</f>
        <v>0.25000000000000006</v>
      </c>
      <c r="AS135" s="467">
        <f t="shared" si="118"/>
        <v>0.25000000000000006</v>
      </c>
      <c r="AT135" s="467">
        <f t="shared" si="118"/>
        <v>0.25000000000000006</v>
      </c>
      <c r="AU135" s="502">
        <v>0.25</v>
      </c>
      <c r="AV135" s="502">
        <v>0.25</v>
      </c>
      <c r="AW135" s="723" t="s">
        <v>426</v>
      </c>
    </row>
    <row r="136" spans="1:50" ht="34" x14ac:dyDescent="0.2">
      <c r="A136" s="436"/>
      <c r="B136" s="962"/>
      <c r="C136" s="951"/>
      <c r="D136" s="467"/>
      <c r="E136" s="474" t="str">
        <f t="shared" si="114"/>
        <v>No-till</v>
      </c>
      <c r="F136" s="467">
        <v>0</v>
      </c>
      <c r="G136" s="467">
        <f>$AU136/20</f>
        <v>2.5000000000000001E-2</v>
      </c>
      <c r="H136" s="467">
        <f>($AU136/20)+G136</f>
        <v>0.05</v>
      </c>
      <c r="I136" s="467">
        <f t="shared" si="115"/>
        <v>7.5000000000000011E-2</v>
      </c>
      <c r="J136" s="467">
        <f t="shared" si="115"/>
        <v>0.1</v>
      </c>
      <c r="K136" s="467">
        <f t="shared" si="115"/>
        <v>0.125</v>
      </c>
      <c r="L136" s="467">
        <f t="shared" si="115"/>
        <v>0.15</v>
      </c>
      <c r="M136" s="467">
        <f t="shared" si="115"/>
        <v>0.17499999999999999</v>
      </c>
      <c r="N136" s="467">
        <f t="shared" si="115"/>
        <v>0.19999999999999998</v>
      </c>
      <c r="O136" s="467">
        <f t="shared" si="115"/>
        <v>0.22499999999999998</v>
      </c>
      <c r="P136" s="467">
        <f t="shared" si="115"/>
        <v>0.24999999999999997</v>
      </c>
      <c r="Q136" s="467">
        <f t="shared" si="115"/>
        <v>0.27499999999999997</v>
      </c>
      <c r="R136" s="467">
        <f t="shared" si="115"/>
        <v>0.3</v>
      </c>
      <c r="S136" s="467">
        <f t="shared" si="115"/>
        <v>0.32500000000000001</v>
      </c>
      <c r="T136" s="467">
        <f t="shared" si="115"/>
        <v>0.35000000000000003</v>
      </c>
      <c r="U136" s="467">
        <f t="shared" si="115"/>
        <v>0.37500000000000006</v>
      </c>
      <c r="V136" s="467">
        <f t="shared" si="115"/>
        <v>0.40000000000000008</v>
      </c>
      <c r="W136" s="467">
        <f t="shared" si="115"/>
        <v>0.4250000000000001</v>
      </c>
      <c r="X136" s="467">
        <f t="shared" si="115"/>
        <v>0.45000000000000012</v>
      </c>
      <c r="Y136" s="467">
        <f t="shared" si="116"/>
        <v>0.47500000000000014</v>
      </c>
      <c r="Z136" s="467">
        <f t="shared" si="116"/>
        <v>0.50000000000000011</v>
      </c>
      <c r="AA136" s="467">
        <f>(($AV136-$AU136)/20)+Z136</f>
        <v>0.50000000000000011</v>
      </c>
      <c r="AB136" s="467">
        <f t="shared" si="117"/>
        <v>0.50000000000000011</v>
      </c>
      <c r="AC136" s="467">
        <f t="shared" si="117"/>
        <v>0.50000000000000011</v>
      </c>
      <c r="AD136" s="467">
        <f t="shared" si="117"/>
        <v>0.50000000000000011</v>
      </c>
      <c r="AE136" s="467">
        <f t="shared" si="117"/>
        <v>0.50000000000000011</v>
      </c>
      <c r="AF136" s="467">
        <f t="shared" si="117"/>
        <v>0.50000000000000011</v>
      </c>
      <c r="AG136" s="467">
        <f t="shared" si="117"/>
        <v>0.50000000000000011</v>
      </c>
      <c r="AH136" s="467">
        <f t="shared" si="117"/>
        <v>0.50000000000000011</v>
      </c>
      <c r="AI136" s="467">
        <f t="shared" si="117"/>
        <v>0.50000000000000011</v>
      </c>
      <c r="AJ136" s="467">
        <f t="shared" si="117"/>
        <v>0.50000000000000011</v>
      </c>
      <c r="AK136" s="467">
        <f t="shared" si="117"/>
        <v>0.50000000000000011</v>
      </c>
      <c r="AL136" s="467">
        <f t="shared" si="117"/>
        <v>0.50000000000000011</v>
      </c>
      <c r="AM136" s="467">
        <f t="shared" si="117"/>
        <v>0.50000000000000011</v>
      </c>
      <c r="AN136" s="467">
        <f t="shared" si="117"/>
        <v>0.50000000000000011</v>
      </c>
      <c r="AO136" s="467">
        <f t="shared" si="117"/>
        <v>0.50000000000000011</v>
      </c>
      <c r="AP136" s="467">
        <f t="shared" si="117"/>
        <v>0.50000000000000011</v>
      </c>
      <c r="AQ136" s="467">
        <f t="shared" si="117"/>
        <v>0.50000000000000011</v>
      </c>
      <c r="AR136" s="467">
        <f t="shared" si="118"/>
        <v>0.50000000000000011</v>
      </c>
      <c r="AS136" s="467">
        <f t="shared" si="118"/>
        <v>0.50000000000000011</v>
      </c>
      <c r="AT136" s="467">
        <f t="shared" si="118"/>
        <v>0.50000000000000011</v>
      </c>
      <c r="AU136" s="502">
        <v>0.5</v>
      </c>
      <c r="AV136" s="502">
        <v>0.5</v>
      </c>
      <c r="AW136" s="723" t="s">
        <v>427</v>
      </c>
    </row>
    <row r="137" spans="1:50" x14ac:dyDescent="0.2">
      <c r="A137" s="436"/>
      <c r="B137" s="962" t="str">
        <f>B55</f>
        <v>HAC</v>
      </c>
      <c r="C137" s="951" t="str">
        <f>C55</f>
        <v>wheat</v>
      </c>
      <c r="D137" s="467">
        <f>D55</f>
        <v>18182.52</v>
      </c>
      <c r="E137" s="474" t="str">
        <f t="shared" si="114"/>
        <v>Full till</v>
      </c>
      <c r="F137" s="467">
        <v>1</v>
      </c>
      <c r="G137" s="467">
        <f>1-SUM(G138:G139)</f>
        <v>0.96</v>
      </c>
      <c r="H137" s="467">
        <f t="shared" ref="H137:AT137" si="119">1-SUM(H138:H139)</f>
        <v>0.92</v>
      </c>
      <c r="I137" s="467">
        <f t="shared" si="119"/>
        <v>0.88</v>
      </c>
      <c r="J137" s="467">
        <f t="shared" si="119"/>
        <v>0.84</v>
      </c>
      <c r="K137" s="467">
        <f t="shared" si="119"/>
        <v>0.8</v>
      </c>
      <c r="L137" s="467">
        <f t="shared" si="119"/>
        <v>0.76</v>
      </c>
      <c r="M137" s="467">
        <f t="shared" si="119"/>
        <v>0.72</v>
      </c>
      <c r="N137" s="467">
        <f t="shared" si="119"/>
        <v>0.67999999999999994</v>
      </c>
      <c r="O137" s="467">
        <f t="shared" si="119"/>
        <v>0.64</v>
      </c>
      <c r="P137" s="467">
        <f t="shared" si="119"/>
        <v>0.6</v>
      </c>
      <c r="Q137" s="467">
        <f t="shared" si="119"/>
        <v>0.55999999999999994</v>
      </c>
      <c r="R137" s="467">
        <f t="shared" si="119"/>
        <v>0.51999999999999991</v>
      </c>
      <c r="S137" s="467">
        <f t="shared" si="119"/>
        <v>0.47999999999999987</v>
      </c>
      <c r="T137" s="467">
        <f t="shared" si="119"/>
        <v>0.43999999999999984</v>
      </c>
      <c r="U137" s="467">
        <f t="shared" si="119"/>
        <v>0.3999999999999998</v>
      </c>
      <c r="V137" s="467">
        <f t="shared" si="119"/>
        <v>0.35999999999999976</v>
      </c>
      <c r="W137" s="467">
        <f t="shared" si="119"/>
        <v>0.31999999999999973</v>
      </c>
      <c r="X137" s="467">
        <f t="shared" si="119"/>
        <v>0.27999999999999969</v>
      </c>
      <c r="Y137" s="467">
        <f t="shared" si="119"/>
        <v>0.23999999999999966</v>
      </c>
      <c r="Z137" s="467">
        <f t="shared" si="119"/>
        <v>0.19999999999999962</v>
      </c>
      <c r="AA137" s="467">
        <f t="shared" si="119"/>
        <v>0.20249999999999968</v>
      </c>
      <c r="AB137" s="467">
        <f t="shared" si="119"/>
        <v>0.20499999999999963</v>
      </c>
      <c r="AC137" s="467">
        <f t="shared" si="119"/>
        <v>0.20749999999999957</v>
      </c>
      <c r="AD137" s="467">
        <f t="shared" si="119"/>
        <v>0.20999999999999952</v>
      </c>
      <c r="AE137" s="467">
        <f t="shared" si="119"/>
        <v>0.21249999999999947</v>
      </c>
      <c r="AF137" s="467">
        <f t="shared" si="119"/>
        <v>0.21499999999999941</v>
      </c>
      <c r="AG137" s="467">
        <f t="shared" si="119"/>
        <v>0.21749999999999936</v>
      </c>
      <c r="AH137" s="467">
        <f t="shared" si="119"/>
        <v>0.21999999999999942</v>
      </c>
      <c r="AI137" s="467">
        <f t="shared" si="119"/>
        <v>0.22249999999999948</v>
      </c>
      <c r="AJ137" s="467">
        <f t="shared" si="119"/>
        <v>0.22499999999999942</v>
      </c>
      <c r="AK137" s="467">
        <f t="shared" si="119"/>
        <v>0.22749999999999937</v>
      </c>
      <c r="AL137" s="467">
        <f t="shared" si="119"/>
        <v>0.22999999999999943</v>
      </c>
      <c r="AM137" s="467">
        <f t="shared" si="119"/>
        <v>0.23249999999999948</v>
      </c>
      <c r="AN137" s="467">
        <f t="shared" si="119"/>
        <v>0.23499999999999943</v>
      </c>
      <c r="AO137" s="467">
        <f t="shared" si="119"/>
        <v>0.23749999999999938</v>
      </c>
      <c r="AP137" s="467">
        <f t="shared" si="119"/>
        <v>0.23999999999999944</v>
      </c>
      <c r="AQ137" s="467">
        <f t="shared" si="119"/>
        <v>0.24249999999999949</v>
      </c>
      <c r="AR137" s="467">
        <f t="shared" si="119"/>
        <v>0.24499999999999944</v>
      </c>
      <c r="AS137" s="467">
        <f t="shared" si="119"/>
        <v>0.24749999999999939</v>
      </c>
      <c r="AT137" s="467">
        <f t="shared" si="119"/>
        <v>0.24999999999999956</v>
      </c>
      <c r="AU137" s="502"/>
      <c r="AV137" s="502"/>
      <c r="AW137" s="723"/>
    </row>
    <row r="138" spans="1:50" x14ac:dyDescent="0.2">
      <c r="A138" s="436"/>
      <c r="B138" s="962"/>
      <c r="C138" s="951"/>
      <c r="D138" s="467"/>
      <c r="E138" s="474" t="str">
        <f t="shared" si="114"/>
        <v>Reduced till</v>
      </c>
      <c r="F138" s="467">
        <v>0</v>
      </c>
      <c r="G138" s="467">
        <f>$AU138/20</f>
        <v>0.03</v>
      </c>
      <c r="H138" s="467">
        <f>($AU138/20)+G138</f>
        <v>0.06</v>
      </c>
      <c r="I138" s="467">
        <f t="shared" ref="I138:X139" si="120">($AU138/20)+H138</f>
        <v>0.09</v>
      </c>
      <c r="J138" s="467">
        <f t="shared" si="120"/>
        <v>0.12</v>
      </c>
      <c r="K138" s="467">
        <f t="shared" si="120"/>
        <v>0.15</v>
      </c>
      <c r="L138" s="467">
        <f t="shared" si="120"/>
        <v>0.18</v>
      </c>
      <c r="M138" s="467">
        <f t="shared" si="120"/>
        <v>0.21</v>
      </c>
      <c r="N138" s="467">
        <f t="shared" si="120"/>
        <v>0.24</v>
      </c>
      <c r="O138" s="467">
        <f t="shared" si="120"/>
        <v>0.27</v>
      </c>
      <c r="P138" s="467">
        <f t="shared" si="120"/>
        <v>0.30000000000000004</v>
      </c>
      <c r="Q138" s="467">
        <f t="shared" si="120"/>
        <v>0.33000000000000007</v>
      </c>
      <c r="R138" s="467">
        <f t="shared" si="120"/>
        <v>0.3600000000000001</v>
      </c>
      <c r="S138" s="467">
        <f t="shared" si="120"/>
        <v>0.39000000000000012</v>
      </c>
      <c r="T138" s="467">
        <f t="shared" si="120"/>
        <v>0.42000000000000015</v>
      </c>
      <c r="U138" s="467">
        <f t="shared" si="120"/>
        <v>0.45000000000000018</v>
      </c>
      <c r="V138" s="467">
        <f t="shared" si="120"/>
        <v>0.4800000000000002</v>
      </c>
      <c r="W138" s="467">
        <f t="shared" si="120"/>
        <v>0.51000000000000023</v>
      </c>
      <c r="X138" s="467">
        <f t="shared" si="120"/>
        <v>0.54000000000000026</v>
      </c>
      <c r="Y138" s="467">
        <f t="shared" ref="Y138:Z139" si="121">($AU138/20)+X138</f>
        <v>0.57000000000000028</v>
      </c>
      <c r="Z138" s="467">
        <f t="shared" si="121"/>
        <v>0.60000000000000031</v>
      </c>
      <c r="AA138" s="467">
        <f>(($AV138-$AU138)/20)+Z138</f>
        <v>0.58250000000000035</v>
      </c>
      <c r="AB138" s="467">
        <f t="shared" ref="AB138:AQ139" si="122">(($AV138-$AU138)/20)+AA138</f>
        <v>0.56500000000000039</v>
      </c>
      <c r="AC138" s="467">
        <f t="shared" si="122"/>
        <v>0.54750000000000043</v>
      </c>
      <c r="AD138" s="467">
        <f t="shared" si="122"/>
        <v>0.53000000000000047</v>
      </c>
      <c r="AE138" s="467">
        <f t="shared" si="122"/>
        <v>0.51250000000000051</v>
      </c>
      <c r="AF138" s="467">
        <f t="shared" si="122"/>
        <v>0.4950000000000005</v>
      </c>
      <c r="AG138" s="467">
        <f t="shared" si="122"/>
        <v>0.47750000000000048</v>
      </c>
      <c r="AH138" s="467">
        <f t="shared" si="122"/>
        <v>0.46000000000000046</v>
      </c>
      <c r="AI138" s="467">
        <f t="shared" si="122"/>
        <v>0.44250000000000045</v>
      </c>
      <c r="AJ138" s="467">
        <f t="shared" si="122"/>
        <v>0.42500000000000043</v>
      </c>
      <c r="AK138" s="467">
        <f t="shared" si="122"/>
        <v>0.40750000000000042</v>
      </c>
      <c r="AL138" s="467">
        <f t="shared" si="122"/>
        <v>0.3900000000000004</v>
      </c>
      <c r="AM138" s="467">
        <f t="shared" si="122"/>
        <v>0.37250000000000039</v>
      </c>
      <c r="AN138" s="467">
        <f t="shared" si="122"/>
        <v>0.35500000000000037</v>
      </c>
      <c r="AO138" s="467">
        <f t="shared" si="122"/>
        <v>0.33750000000000036</v>
      </c>
      <c r="AP138" s="467">
        <f t="shared" si="122"/>
        <v>0.32000000000000034</v>
      </c>
      <c r="AQ138" s="467">
        <f t="shared" si="122"/>
        <v>0.30250000000000032</v>
      </c>
      <c r="AR138" s="467">
        <f t="shared" ref="AR138:AT139" si="123">(($AV138-$AU138)/20)+AQ138</f>
        <v>0.28500000000000031</v>
      </c>
      <c r="AS138" s="467">
        <f t="shared" si="123"/>
        <v>0.26750000000000029</v>
      </c>
      <c r="AT138" s="467">
        <f t="shared" si="123"/>
        <v>0.25000000000000028</v>
      </c>
      <c r="AU138" s="502">
        <v>0.6</v>
      </c>
      <c r="AV138" s="502">
        <v>0.25</v>
      </c>
      <c r="AW138" s="723"/>
    </row>
    <row r="139" spans="1:50" x14ac:dyDescent="0.2">
      <c r="A139" s="436"/>
      <c r="B139" s="962"/>
      <c r="C139" s="951"/>
      <c r="D139" s="467"/>
      <c r="E139" s="474" t="str">
        <f t="shared" si="114"/>
        <v>No-till</v>
      </c>
      <c r="F139" s="467">
        <v>0</v>
      </c>
      <c r="G139" s="467">
        <f>$AU139/20</f>
        <v>0.01</v>
      </c>
      <c r="H139" s="467">
        <f>($AU139/20)+G139</f>
        <v>0.02</v>
      </c>
      <c r="I139" s="467">
        <f t="shared" si="120"/>
        <v>0.03</v>
      </c>
      <c r="J139" s="467">
        <f t="shared" si="120"/>
        <v>0.04</v>
      </c>
      <c r="K139" s="467">
        <f t="shared" si="120"/>
        <v>0.05</v>
      </c>
      <c r="L139" s="467">
        <f t="shared" si="120"/>
        <v>6.0000000000000005E-2</v>
      </c>
      <c r="M139" s="467">
        <f t="shared" si="120"/>
        <v>7.0000000000000007E-2</v>
      </c>
      <c r="N139" s="467">
        <f t="shared" si="120"/>
        <v>0.08</v>
      </c>
      <c r="O139" s="467">
        <f t="shared" si="120"/>
        <v>0.09</v>
      </c>
      <c r="P139" s="467">
        <f t="shared" si="120"/>
        <v>9.9999999999999992E-2</v>
      </c>
      <c r="Q139" s="467">
        <f t="shared" si="120"/>
        <v>0.10999999999999999</v>
      </c>
      <c r="R139" s="467">
        <f t="shared" si="120"/>
        <v>0.11999999999999998</v>
      </c>
      <c r="S139" s="467">
        <f t="shared" si="120"/>
        <v>0.12999999999999998</v>
      </c>
      <c r="T139" s="467">
        <f t="shared" si="120"/>
        <v>0.13999999999999999</v>
      </c>
      <c r="U139" s="467">
        <f t="shared" si="120"/>
        <v>0.15</v>
      </c>
      <c r="V139" s="467">
        <f t="shared" si="120"/>
        <v>0.16</v>
      </c>
      <c r="W139" s="467">
        <f t="shared" si="120"/>
        <v>0.17</v>
      </c>
      <c r="X139" s="467">
        <f t="shared" si="120"/>
        <v>0.18000000000000002</v>
      </c>
      <c r="Y139" s="467">
        <f t="shared" si="121"/>
        <v>0.19000000000000003</v>
      </c>
      <c r="Z139" s="467">
        <f t="shared" si="121"/>
        <v>0.20000000000000004</v>
      </c>
      <c r="AA139" s="467">
        <f>(($AV139-$AU139)/20)+Z139</f>
        <v>0.21500000000000002</v>
      </c>
      <c r="AB139" s="467">
        <f t="shared" si="122"/>
        <v>0.23000000000000004</v>
      </c>
      <c r="AC139" s="467">
        <f t="shared" si="122"/>
        <v>0.24500000000000005</v>
      </c>
      <c r="AD139" s="467">
        <f t="shared" si="122"/>
        <v>0.26000000000000006</v>
      </c>
      <c r="AE139" s="467">
        <f t="shared" si="122"/>
        <v>0.27500000000000008</v>
      </c>
      <c r="AF139" s="467">
        <f t="shared" si="122"/>
        <v>0.29000000000000009</v>
      </c>
      <c r="AG139" s="467">
        <f t="shared" si="122"/>
        <v>0.3050000000000001</v>
      </c>
      <c r="AH139" s="467">
        <f t="shared" si="122"/>
        <v>0.32000000000000012</v>
      </c>
      <c r="AI139" s="467">
        <f t="shared" si="122"/>
        <v>0.33500000000000013</v>
      </c>
      <c r="AJ139" s="467">
        <f t="shared" si="122"/>
        <v>0.35000000000000014</v>
      </c>
      <c r="AK139" s="467">
        <f t="shared" si="122"/>
        <v>0.36500000000000016</v>
      </c>
      <c r="AL139" s="467">
        <f t="shared" si="122"/>
        <v>0.38000000000000017</v>
      </c>
      <c r="AM139" s="467">
        <f t="shared" si="122"/>
        <v>0.39500000000000018</v>
      </c>
      <c r="AN139" s="467">
        <f t="shared" si="122"/>
        <v>0.4100000000000002</v>
      </c>
      <c r="AO139" s="467">
        <f t="shared" si="122"/>
        <v>0.42500000000000021</v>
      </c>
      <c r="AP139" s="467">
        <f t="shared" si="122"/>
        <v>0.44000000000000022</v>
      </c>
      <c r="AQ139" s="467">
        <f t="shared" si="122"/>
        <v>0.45500000000000024</v>
      </c>
      <c r="AR139" s="467">
        <f t="shared" si="123"/>
        <v>0.47000000000000025</v>
      </c>
      <c r="AS139" s="467">
        <f t="shared" si="123"/>
        <v>0.48500000000000026</v>
      </c>
      <c r="AT139" s="467">
        <f t="shared" si="123"/>
        <v>0.50000000000000022</v>
      </c>
      <c r="AU139" s="502">
        <v>0.2</v>
      </c>
      <c r="AV139" s="502">
        <v>0.5</v>
      </c>
      <c r="AW139" s="723"/>
    </row>
    <row r="140" spans="1:50" x14ac:dyDescent="0.2">
      <c r="A140" s="436"/>
      <c r="B140" s="962" t="str">
        <f>B58</f>
        <v>HAC</v>
      </c>
      <c r="C140" s="951" t="str">
        <f>C58</f>
        <v>cassava-beans</v>
      </c>
      <c r="D140" s="467">
        <f>D58</f>
        <v>8586.19</v>
      </c>
      <c r="E140" s="474" t="str">
        <f t="shared" si="114"/>
        <v>Full till</v>
      </c>
      <c r="F140" s="467">
        <v>1</v>
      </c>
      <c r="G140" s="467">
        <f>1-SUM(G141:G142)</f>
        <v>0.97499999999999998</v>
      </c>
      <c r="H140" s="467">
        <f t="shared" ref="H140:AT140" si="124">1-SUM(H141:H142)</f>
        <v>0.95</v>
      </c>
      <c r="I140" s="467">
        <f t="shared" si="124"/>
        <v>0.92500000000000004</v>
      </c>
      <c r="J140" s="467">
        <f t="shared" si="124"/>
        <v>0.9</v>
      </c>
      <c r="K140" s="467">
        <f t="shared" si="124"/>
        <v>0.875</v>
      </c>
      <c r="L140" s="467">
        <f t="shared" si="124"/>
        <v>0.85</v>
      </c>
      <c r="M140" s="467">
        <f t="shared" si="124"/>
        <v>0.82499999999999996</v>
      </c>
      <c r="N140" s="467">
        <f t="shared" si="124"/>
        <v>0.8</v>
      </c>
      <c r="O140" s="467">
        <f t="shared" si="124"/>
        <v>0.77500000000000002</v>
      </c>
      <c r="P140" s="467">
        <f t="shared" si="124"/>
        <v>0.75</v>
      </c>
      <c r="Q140" s="467">
        <f t="shared" si="124"/>
        <v>0.72500000000000009</v>
      </c>
      <c r="R140" s="467">
        <f t="shared" si="124"/>
        <v>0.7</v>
      </c>
      <c r="S140" s="467">
        <f t="shared" si="124"/>
        <v>0.67500000000000004</v>
      </c>
      <c r="T140" s="467">
        <f t="shared" si="124"/>
        <v>0.64999999999999991</v>
      </c>
      <c r="U140" s="467">
        <f t="shared" si="124"/>
        <v>0.625</v>
      </c>
      <c r="V140" s="467">
        <f t="shared" si="124"/>
        <v>0.59999999999999987</v>
      </c>
      <c r="W140" s="467">
        <f t="shared" si="124"/>
        <v>0.57499999999999996</v>
      </c>
      <c r="X140" s="467">
        <f t="shared" si="124"/>
        <v>0.54999999999999982</v>
      </c>
      <c r="Y140" s="467">
        <f t="shared" si="124"/>
        <v>0.52499999999999991</v>
      </c>
      <c r="Z140" s="467">
        <f t="shared" si="124"/>
        <v>0.49999999999999989</v>
      </c>
      <c r="AA140" s="467">
        <f t="shared" si="124"/>
        <v>0.48749999999999982</v>
      </c>
      <c r="AB140" s="467">
        <f t="shared" si="124"/>
        <v>0.47499999999999987</v>
      </c>
      <c r="AC140" s="467">
        <f t="shared" si="124"/>
        <v>0.46249999999999991</v>
      </c>
      <c r="AD140" s="467">
        <f t="shared" si="124"/>
        <v>0.44999999999999984</v>
      </c>
      <c r="AE140" s="467">
        <f t="shared" si="124"/>
        <v>0.43749999999999978</v>
      </c>
      <c r="AF140" s="467">
        <f t="shared" si="124"/>
        <v>0.42499999999999982</v>
      </c>
      <c r="AG140" s="467">
        <f t="shared" si="124"/>
        <v>0.41249999999999987</v>
      </c>
      <c r="AH140" s="467">
        <f t="shared" si="124"/>
        <v>0.3999999999999998</v>
      </c>
      <c r="AI140" s="467">
        <f t="shared" si="124"/>
        <v>0.38749999999999973</v>
      </c>
      <c r="AJ140" s="467">
        <f t="shared" si="124"/>
        <v>0.37499999999999978</v>
      </c>
      <c r="AK140" s="467">
        <f t="shared" si="124"/>
        <v>0.36249999999999982</v>
      </c>
      <c r="AL140" s="467">
        <f t="shared" si="124"/>
        <v>0.34999999999999976</v>
      </c>
      <c r="AM140" s="467">
        <f t="shared" si="124"/>
        <v>0.33749999999999969</v>
      </c>
      <c r="AN140" s="467">
        <f t="shared" si="124"/>
        <v>0.32499999999999973</v>
      </c>
      <c r="AO140" s="467">
        <f t="shared" si="124"/>
        <v>0.31249999999999978</v>
      </c>
      <c r="AP140" s="467">
        <f t="shared" si="124"/>
        <v>0.29999999999999971</v>
      </c>
      <c r="AQ140" s="467">
        <f t="shared" si="124"/>
        <v>0.28749999999999964</v>
      </c>
      <c r="AR140" s="467">
        <f t="shared" si="124"/>
        <v>0.27499999999999969</v>
      </c>
      <c r="AS140" s="467">
        <f t="shared" si="124"/>
        <v>0.26249999999999973</v>
      </c>
      <c r="AT140" s="467">
        <f t="shared" si="124"/>
        <v>0.24999999999999978</v>
      </c>
      <c r="AU140" s="502"/>
      <c r="AV140" s="502"/>
      <c r="AW140" s="723"/>
    </row>
    <row r="141" spans="1:50" x14ac:dyDescent="0.2">
      <c r="A141" s="436"/>
      <c r="B141" s="962"/>
      <c r="C141" s="951"/>
      <c r="D141" s="467"/>
      <c r="E141" s="474" t="str">
        <f t="shared" si="114"/>
        <v>Reduced till</v>
      </c>
      <c r="F141" s="467">
        <v>0</v>
      </c>
      <c r="G141" s="467">
        <f>$AU141/20</f>
        <v>1.2500000000000001E-2</v>
      </c>
      <c r="H141" s="467">
        <f>($AU141/20)+G141</f>
        <v>2.5000000000000001E-2</v>
      </c>
      <c r="I141" s="467">
        <f t="shared" ref="I141:X142" si="125">($AU141/20)+H141</f>
        <v>3.7500000000000006E-2</v>
      </c>
      <c r="J141" s="467">
        <f t="shared" si="125"/>
        <v>0.05</v>
      </c>
      <c r="K141" s="467">
        <f t="shared" si="125"/>
        <v>6.25E-2</v>
      </c>
      <c r="L141" s="467">
        <f t="shared" si="125"/>
        <v>7.4999999999999997E-2</v>
      </c>
      <c r="M141" s="467">
        <f t="shared" si="125"/>
        <v>8.7499999999999994E-2</v>
      </c>
      <c r="N141" s="467">
        <f t="shared" si="125"/>
        <v>9.9999999999999992E-2</v>
      </c>
      <c r="O141" s="467">
        <f t="shared" si="125"/>
        <v>0.11249999999999999</v>
      </c>
      <c r="P141" s="467">
        <f t="shared" si="125"/>
        <v>0.12499999999999999</v>
      </c>
      <c r="Q141" s="467">
        <f t="shared" si="125"/>
        <v>0.13749999999999998</v>
      </c>
      <c r="R141" s="467">
        <f t="shared" si="125"/>
        <v>0.15</v>
      </c>
      <c r="S141" s="467">
        <f t="shared" si="125"/>
        <v>0.16250000000000001</v>
      </c>
      <c r="T141" s="467">
        <f t="shared" si="125"/>
        <v>0.17500000000000002</v>
      </c>
      <c r="U141" s="467">
        <f t="shared" si="125"/>
        <v>0.18750000000000003</v>
      </c>
      <c r="V141" s="467">
        <f t="shared" si="125"/>
        <v>0.20000000000000004</v>
      </c>
      <c r="W141" s="467">
        <f t="shared" si="125"/>
        <v>0.21250000000000005</v>
      </c>
      <c r="X141" s="467">
        <f t="shared" si="125"/>
        <v>0.22500000000000006</v>
      </c>
      <c r="Y141" s="467">
        <f t="shared" ref="Y141:Z142" si="126">($AU141/20)+X141</f>
        <v>0.23750000000000007</v>
      </c>
      <c r="Z141" s="467">
        <f t="shared" si="126"/>
        <v>0.25000000000000006</v>
      </c>
      <c r="AA141" s="467">
        <f>(($AV141-$AU141)/20)+Z141</f>
        <v>0.25000000000000006</v>
      </c>
      <c r="AB141" s="467">
        <f t="shared" ref="AB141:AQ142" si="127">(($AV141-$AU141)/20)+AA141</f>
        <v>0.25000000000000006</v>
      </c>
      <c r="AC141" s="467">
        <f t="shared" si="127"/>
        <v>0.25000000000000006</v>
      </c>
      <c r="AD141" s="467">
        <f t="shared" si="127"/>
        <v>0.25000000000000006</v>
      </c>
      <c r="AE141" s="467">
        <f t="shared" si="127"/>
        <v>0.25000000000000006</v>
      </c>
      <c r="AF141" s="467">
        <f t="shared" si="127"/>
        <v>0.25000000000000006</v>
      </c>
      <c r="AG141" s="467">
        <f t="shared" si="127"/>
        <v>0.25000000000000006</v>
      </c>
      <c r="AH141" s="467">
        <f t="shared" si="127"/>
        <v>0.25000000000000006</v>
      </c>
      <c r="AI141" s="467">
        <f t="shared" si="127"/>
        <v>0.25000000000000006</v>
      </c>
      <c r="AJ141" s="467">
        <f t="shared" si="127"/>
        <v>0.25000000000000006</v>
      </c>
      <c r="AK141" s="467">
        <f t="shared" si="127"/>
        <v>0.25000000000000006</v>
      </c>
      <c r="AL141" s="467">
        <f t="shared" si="127"/>
        <v>0.25000000000000006</v>
      </c>
      <c r="AM141" s="467">
        <f t="shared" si="127"/>
        <v>0.25000000000000006</v>
      </c>
      <c r="AN141" s="467">
        <f t="shared" si="127"/>
        <v>0.25000000000000006</v>
      </c>
      <c r="AO141" s="467">
        <f t="shared" si="127"/>
        <v>0.25000000000000006</v>
      </c>
      <c r="AP141" s="467">
        <f t="shared" si="127"/>
        <v>0.25000000000000006</v>
      </c>
      <c r="AQ141" s="467">
        <f t="shared" si="127"/>
        <v>0.25000000000000006</v>
      </c>
      <c r="AR141" s="467">
        <f t="shared" ref="AR141:AT142" si="128">(($AV141-$AU141)/20)+AQ141</f>
        <v>0.25000000000000006</v>
      </c>
      <c r="AS141" s="467">
        <f t="shared" si="128"/>
        <v>0.25000000000000006</v>
      </c>
      <c r="AT141" s="467">
        <f t="shared" si="128"/>
        <v>0.25000000000000006</v>
      </c>
      <c r="AU141" s="502">
        <v>0.25</v>
      </c>
      <c r="AV141" s="502">
        <v>0.25</v>
      </c>
      <c r="AW141" s="723"/>
    </row>
    <row r="142" spans="1:50" x14ac:dyDescent="0.2">
      <c r="A142" s="436"/>
      <c r="B142" s="962"/>
      <c r="C142" s="951"/>
      <c r="D142" s="467"/>
      <c r="E142" s="474" t="str">
        <f t="shared" si="114"/>
        <v>No-till</v>
      </c>
      <c r="F142" s="467">
        <v>0</v>
      </c>
      <c r="G142" s="467">
        <f>$AU142/20</f>
        <v>1.2500000000000001E-2</v>
      </c>
      <c r="H142" s="467">
        <f>($AU142/20)+G142</f>
        <v>2.5000000000000001E-2</v>
      </c>
      <c r="I142" s="467">
        <f t="shared" si="125"/>
        <v>3.7500000000000006E-2</v>
      </c>
      <c r="J142" s="467">
        <f t="shared" si="125"/>
        <v>0.05</v>
      </c>
      <c r="K142" s="467">
        <f t="shared" si="125"/>
        <v>6.25E-2</v>
      </c>
      <c r="L142" s="467">
        <f t="shared" si="125"/>
        <v>7.4999999999999997E-2</v>
      </c>
      <c r="M142" s="467">
        <f t="shared" si="125"/>
        <v>8.7499999999999994E-2</v>
      </c>
      <c r="N142" s="467">
        <f t="shared" si="125"/>
        <v>9.9999999999999992E-2</v>
      </c>
      <c r="O142" s="467">
        <f t="shared" si="125"/>
        <v>0.11249999999999999</v>
      </c>
      <c r="P142" s="467">
        <f t="shared" si="125"/>
        <v>0.12499999999999999</v>
      </c>
      <c r="Q142" s="467">
        <f t="shared" si="125"/>
        <v>0.13749999999999998</v>
      </c>
      <c r="R142" s="467">
        <f t="shared" si="125"/>
        <v>0.15</v>
      </c>
      <c r="S142" s="467">
        <f t="shared" si="125"/>
        <v>0.16250000000000001</v>
      </c>
      <c r="T142" s="467">
        <f t="shared" si="125"/>
        <v>0.17500000000000002</v>
      </c>
      <c r="U142" s="467">
        <f t="shared" si="125"/>
        <v>0.18750000000000003</v>
      </c>
      <c r="V142" s="467">
        <f t="shared" si="125"/>
        <v>0.20000000000000004</v>
      </c>
      <c r="W142" s="467">
        <f t="shared" si="125"/>
        <v>0.21250000000000005</v>
      </c>
      <c r="X142" s="467">
        <f t="shared" si="125"/>
        <v>0.22500000000000006</v>
      </c>
      <c r="Y142" s="467">
        <f t="shared" si="126"/>
        <v>0.23750000000000007</v>
      </c>
      <c r="Z142" s="467">
        <f t="shared" si="126"/>
        <v>0.25000000000000006</v>
      </c>
      <c r="AA142" s="467">
        <f>(($AV142-$AU142)/20)+Z142</f>
        <v>0.26250000000000007</v>
      </c>
      <c r="AB142" s="467">
        <f t="shared" si="127"/>
        <v>0.27500000000000008</v>
      </c>
      <c r="AC142" s="467">
        <f t="shared" si="127"/>
        <v>0.28750000000000009</v>
      </c>
      <c r="AD142" s="467">
        <f t="shared" si="127"/>
        <v>0.3000000000000001</v>
      </c>
      <c r="AE142" s="467">
        <f t="shared" si="127"/>
        <v>0.31250000000000011</v>
      </c>
      <c r="AF142" s="467">
        <f t="shared" si="127"/>
        <v>0.32500000000000012</v>
      </c>
      <c r="AG142" s="467">
        <f t="shared" si="127"/>
        <v>0.33750000000000013</v>
      </c>
      <c r="AH142" s="467">
        <f t="shared" si="127"/>
        <v>0.35000000000000014</v>
      </c>
      <c r="AI142" s="467">
        <f t="shared" si="127"/>
        <v>0.36250000000000016</v>
      </c>
      <c r="AJ142" s="467">
        <f t="shared" si="127"/>
        <v>0.37500000000000017</v>
      </c>
      <c r="AK142" s="467">
        <f t="shared" si="127"/>
        <v>0.38750000000000018</v>
      </c>
      <c r="AL142" s="467">
        <f t="shared" si="127"/>
        <v>0.40000000000000019</v>
      </c>
      <c r="AM142" s="467">
        <f t="shared" si="127"/>
        <v>0.4125000000000002</v>
      </c>
      <c r="AN142" s="467">
        <f t="shared" si="127"/>
        <v>0.42500000000000021</v>
      </c>
      <c r="AO142" s="467">
        <f t="shared" si="127"/>
        <v>0.43750000000000022</v>
      </c>
      <c r="AP142" s="467">
        <f t="shared" si="127"/>
        <v>0.45000000000000023</v>
      </c>
      <c r="AQ142" s="467">
        <f t="shared" si="127"/>
        <v>0.46250000000000024</v>
      </c>
      <c r="AR142" s="467">
        <f t="shared" si="128"/>
        <v>0.47500000000000026</v>
      </c>
      <c r="AS142" s="467">
        <f t="shared" si="128"/>
        <v>0.48750000000000027</v>
      </c>
      <c r="AT142" s="467">
        <f t="shared" si="128"/>
        <v>0.50000000000000022</v>
      </c>
      <c r="AU142" s="502">
        <v>0.25</v>
      </c>
      <c r="AV142" s="502">
        <v>0.5</v>
      </c>
      <c r="AW142" s="723"/>
    </row>
    <row r="143" spans="1:50" x14ac:dyDescent="0.2">
      <c r="A143" s="436"/>
      <c r="B143" s="962" t="str">
        <f>B61</f>
        <v>VOL</v>
      </c>
      <c r="C143" s="951" t="str">
        <f>C61</f>
        <v>vegetables</v>
      </c>
      <c r="D143" s="467">
        <f>D61</f>
        <v>4235.4000000000005</v>
      </c>
      <c r="E143" s="474" t="str">
        <f t="shared" si="114"/>
        <v>Full till</v>
      </c>
      <c r="F143" s="467">
        <v>1</v>
      </c>
      <c r="G143" s="467">
        <f>1-SUM(G144:G145)</f>
        <v>0.97499999999999998</v>
      </c>
      <c r="H143" s="467">
        <f t="shared" ref="H143:AT143" si="129">1-SUM(H144:H145)</f>
        <v>0.95</v>
      </c>
      <c r="I143" s="467">
        <f t="shared" si="129"/>
        <v>0.92500000000000004</v>
      </c>
      <c r="J143" s="467">
        <f t="shared" si="129"/>
        <v>0.9</v>
      </c>
      <c r="K143" s="467">
        <f t="shared" si="129"/>
        <v>0.875</v>
      </c>
      <c r="L143" s="467">
        <f t="shared" si="129"/>
        <v>0.85</v>
      </c>
      <c r="M143" s="467">
        <f t="shared" si="129"/>
        <v>0.82499999999999996</v>
      </c>
      <c r="N143" s="467">
        <f t="shared" si="129"/>
        <v>0.8</v>
      </c>
      <c r="O143" s="467">
        <f t="shared" si="129"/>
        <v>0.77500000000000002</v>
      </c>
      <c r="P143" s="467">
        <f t="shared" si="129"/>
        <v>0.75</v>
      </c>
      <c r="Q143" s="467">
        <f t="shared" si="129"/>
        <v>0.72500000000000009</v>
      </c>
      <c r="R143" s="467">
        <f t="shared" si="129"/>
        <v>0.7</v>
      </c>
      <c r="S143" s="467">
        <f t="shared" si="129"/>
        <v>0.67500000000000004</v>
      </c>
      <c r="T143" s="467">
        <f t="shared" si="129"/>
        <v>0.64999999999999991</v>
      </c>
      <c r="U143" s="467">
        <f t="shared" si="129"/>
        <v>0.625</v>
      </c>
      <c r="V143" s="467">
        <f t="shared" si="129"/>
        <v>0.59999999999999987</v>
      </c>
      <c r="W143" s="467">
        <f t="shared" si="129"/>
        <v>0.57499999999999996</v>
      </c>
      <c r="X143" s="467">
        <f t="shared" si="129"/>
        <v>0.54999999999999982</v>
      </c>
      <c r="Y143" s="467">
        <f t="shared" si="129"/>
        <v>0.52499999999999991</v>
      </c>
      <c r="Z143" s="467">
        <f t="shared" si="129"/>
        <v>0.49999999999999989</v>
      </c>
      <c r="AA143" s="467">
        <f t="shared" si="129"/>
        <v>0.48749999999999982</v>
      </c>
      <c r="AB143" s="467">
        <f t="shared" si="129"/>
        <v>0.47499999999999987</v>
      </c>
      <c r="AC143" s="467">
        <f t="shared" si="129"/>
        <v>0.46249999999999991</v>
      </c>
      <c r="AD143" s="467">
        <f t="shared" si="129"/>
        <v>0.44999999999999984</v>
      </c>
      <c r="AE143" s="467">
        <f t="shared" si="129"/>
        <v>0.43749999999999978</v>
      </c>
      <c r="AF143" s="467">
        <f t="shared" si="129"/>
        <v>0.42499999999999982</v>
      </c>
      <c r="AG143" s="467">
        <f t="shared" si="129"/>
        <v>0.41249999999999987</v>
      </c>
      <c r="AH143" s="467">
        <f t="shared" si="129"/>
        <v>0.3999999999999998</v>
      </c>
      <c r="AI143" s="467">
        <f t="shared" si="129"/>
        <v>0.38749999999999973</v>
      </c>
      <c r="AJ143" s="467">
        <f t="shared" si="129"/>
        <v>0.37499999999999978</v>
      </c>
      <c r="AK143" s="467">
        <f t="shared" si="129"/>
        <v>0.36249999999999982</v>
      </c>
      <c r="AL143" s="467">
        <f t="shared" si="129"/>
        <v>0.34999999999999976</v>
      </c>
      <c r="AM143" s="467">
        <f t="shared" si="129"/>
        <v>0.33749999999999969</v>
      </c>
      <c r="AN143" s="467">
        <f t="shared" si="129"/>
        <v>0.32499999999999973</v>
      </c>
      <c r="AO143" s="467">
        <f t="shared" si="129"/>
        <v>0.31249999999999978</v>
      </c>
      <c r="AP143" s="467">
        <f t="shared" si="129"/>
        <v>0.29999999999999971</v>
      </c>
      <c r="AQ143" s="467">
        <f t="shared" si="129"/>
        <v>0.28749999999999964</v>
      </c>
      <c r="AR143" s="467">
        <f t="shared" si="129"/>
        <v>0.27499999999999969</v>
      </c>
      <c r="AS143" s="467">
        <f t="shared" si="129"/>
        <v>0.26249999999999973</v>
      </c>
      <c r="AT143" s="467">
        <f t="shared" si="129"/>
        <v>0.24999999999999978</v>
      </c>
      <c r="AU143" s="502"/>
      <c r="AV143" s="502"/>
      <c r="AW143" s="723"/>
    </row>
    <row r="144" spans="1:50" x14ac:dyDescent="0.2">
      <c r="A144" s="436"/>
      <c r="B144" s="962"/>
      <c r="C144" s="951"/>
      <c r="D144" s="467"/>
      <c r="E144" s="474" t="str">
        <f t="shared" si="114"/>
        <v>Reduced till</v>
      </c>
      <c r="F144" s="467">
        <v>0</v>
      </c>
      <c r="G144" s="467">
        <f>$AU144/20</f>
        <v>1.2500000000000001E-2</v>
      </c>
      <c r="H144" s="467">
        <f>($AU144/20)+G144</f>
        <v>2.5000000000000001E-2</v>
      </c>
      <c r="I144" s="467">
        <f t="shared" ref="I144:X145" si="130">($AU144/20)+H144</f>
        <v>3.7500000000000006E-2</v>
      </c>
      <c r="J144" s="467">
        <f t="shared" si="130"/>
        <v>0.05</v>
      </c>
      <c r="K144" s="467">
        <f t="shared" si="130"/>
        <v>6.25E-2</v>
      </c>
      <c r="L144" s="467">
        <f t="shared" si="130"/>
        <v>7.4999999999999997E-2</v>
      </c>
      <c r="M144" s="467">
        <f t="shared" si="130"/>
        <v>8.7499999999999994E-2</v>
      </c>
      <c r="N144" s="467">
        <f t="shared" si="130"/>
        <v>9.9999999999999992E-2</v>
      </c>
      <c r="O144" s="467">
        <f t="shared" si="130"/>
        <v>0.11249999999999999</v>
      </c>
      <c r="P144" s="467">
        <f t="shared" si="130"/>
        <v>0.12499999999999999</v>
      </c>
      <c r="Q144" s="467">
        <f t="shared" si="130"/>
        <v>0.13749999999999998</v>
      </c>
      <c r="R144" s="467">
        <f t="shared" si="130"/>
        <v>0.15</v>
      </c>
      <c r="S144" s="467">
        <f t="shared" si="130"/>
        <v>0.16250000000000001</v>
      </c>
      <c r="T144" s="467">
        <f t="shared" si="130"/>
        <v>0.17500000000000002</v>
      </c>
      <c r="U144" s="467">
        <f t="shared" si="130"/>
        <v>0.18750000000000003</v>
      </c>
      <c r="V144" s="467">
        <f t="shared" si="130"/>
        <v>0.20000000000000004</v>
      </c>
      <c r="W144" s="467">
        <f t="shared" si="130"/>
        <v>0.21250000000000005</v>
      </c>
      <c r="X144" s="467">
        <f t="shared" si="130"/>
        <v>0.22500000000000006</v>
      </c>
      <c r="Y144" s="467">
        <f t="shared" ref="Y144:Z145" si="131">($AU144/20)+X144</f>
        <v>0.23750000000000007</v>
      </c>
      <c r="Z144" s="467">
        <f t="shared" si="131"/>
        <v>0.25000000000000006</v>
      </c>
      <c r="AA144" s="467">
        <f>(($AV144-$AU144)/20)+Z144</f>
        <v>0.25000000000000006</v>
      </c>
      <c r="AB144" s="467">
        <f t="shared" ref="AB144:AQ145" si="132">(($AV144-$AU144)/20)+AA144</f>
        <v>0.25000000000000006</v>
      </c>
      <c r="AC144" s="467">
        <f t="shared" si="132"/>
        <v>0.25000000000000006</v>
      </c>
      <c r="AD144" s="467">
        <f t="shared" si="132"/>
        <v>0.25000000000000006</v>
      </c>
      <c r="AE144" s="467">
        <f t="shared" si="132"/>
        <v>0.25000000000000006</v>
      </c>
      <c r="AF144" s="467">
        <f t="shared" si="132"/>
        <v>0.25000000000000006</v>
      </c>
      <c r="AG144" s="467">
        <f t="shared" si="132"/>
        <v>0.25000000000000006</v>
      </c>
      <c r="AH144" s="467">
        <f t="shared" si="132"/>
        <v>0.25000000000000006</v>
      </c>
      <c r="AI144" s="467">
        <f t="shared" si="132"/>
        <v>0.25000000000000006</v>
      </c>
      <c r="AJ144" s="467">
        <f t="shared" si="132"/>
        <v>0.25000000000000006</v>
      </c>
      <c r="AK144" s="467">
        <f t="shared" si="132"/>
        <v>0.25000000000000006</v>
      </c>
      <c r="AL144" s="467">
        <f t="shared" si="132"/>
        <v>0.25000000000000006</v>
      </c>
      <c r="AM144" s="467">
        <f t="shared" si="132"/>
        <v>0.25000000000000006</v>
      </c>
      <c r="AN144" s="467">
        <f t="shared" si="132"/>
        <v>0.25000000000000006</v>
      </c>
      <c r="AO144" s="467">
        <f t="shared" si="132"/>
        <v>0.25000000000000006</v>
      </c>
      <c r="AP144" s="467">
        <f t="shared" si="132"/>
        <v>0.25000000000000006</v>
      </c>
      <c r="AQ144" s="467">
        <f t="shared" si="132"/>
        <v>0.25000000000000006</v>
      </c>
      <c r="AR144" s="467">
        <f t="shared" ref="AR144:AT145" si="133">(($AV144-$AU144)/20)+AQ144</f>
        <v>0.25000000000000006</v>
      </c>
      <c r="AS144" s="467">
        <f t="shared" si="133"/>
        <v>0.25000000000000006</v>
      </c>
      <c r="AT144" s="467">
        <f t="shared" si="133"/>
        <v>0.25000000000000006</v>
      </c>
      <c r="AU144" s="502">
        <v>0.25</v>
      </c>
      <c r="AV144" s="502">
        <v>0.25</v>
      </c>
      <c r="AW144" s="723"/>
    </row>
    <row r="145" spans="1:50" x14ac:dyDescent="0.2">
      <c r="A145" s="436"/>
      <c r="B145" s="962"/>
      <c r="C145" s="951"/>
      <c r="D145" s="467"/>
      <c r="E145" s="474" t="str">
        <f t="shared" si="114"/>
        <v>No-till</v>
      </c>
      <c r="F145" s="467">
        <v>0</v>
      </c>
      <c r="G145" s="467">
        <f>$AU145/20</f>
        <v>1.2500000000000001E-2</v>
      </c>
      <c r="H145" s="467">
        <f>($AU145/20)+G145</f>
        <v>2.5000000000000001E-2</v>
      </c>
      <c r="I145" s="467">
        <f t="shared" si="130"/>
        <v>3.7500000000000006E-2</v>
      </c>
      <c r="J145" s="467">
        <f t="shared" si="130"/>
        <v>0.05</v>
      </c>
      <c r="K145" s="467">
        <f t="shared" si="130"/>
        <v>6.25E-2</v>
      </c>
      <c r="L145" s="467">
        <f t="shared" si="130"/>
        <v>7.4999999999999997E-2</v>
      </c>
      <c r="M145" s="467">
        <f t="shared" si="130"/>
        <v>8.7499999999999994E-2</v>
      </c>
      <c r="N145" s="467">
        <f t="shared" si="130"/>
        <v>9.9999999999999992E-2</v>
      </c>
      <c r="O145" s="467">
        <f t="shared" si="130"/>
        <v>0.11249999999999999</v>
      </c>
      <c r="P145" s="467">
        <f t="shared" si="130"/>
        <v>0.12499999999999999</v>
      </c>
      <c r="Q145" s="467">
        <f t="shared" si="130"/>
        <v>0.13749999999999998</v>
      </c>
      <c r="R145" s="467">
        <f t="shared" si="130"/>
        <v>0.15</v>
      </c>
      <c r="S145" s="467">
        <f t="shared" si="130"/>
        <v>0.16250000000000001</v>
      </c>
      <c r="T145" s="467">
        <f t="shared" si="130"/>
        <v>0.17500000000000002</v>
      </c>
      <c r="U145" s="467">
        <f t="shared" si="130"/>
        <v>0.18750000000000003</v>
      </c>
      <c r="V145" s="467">
        <f t="shared" si="130"/>
        <v>0.20000000000000004</v>
      </c>
      <c r="W145" s="467">
        <f t="shared" si="130"/>
        <v>0.21250000000000005</v>
      </c>
      <c r="X145" s="467">
        <f t="shared" si="130"/>
        <v>0.22500000000000006</v>
      </c>
      <c r="Y145" s="467">
        <f t="shared" si="131"/>
        <v>0.23750000000000007</v>
      </c>
      <c r="Z145" s="467">
        <f t="shared" si="131"/>
        <v>0.25000000000000006</v>
      </c>
      <c r="AA145" s="467">
        <f>(($AV145-$AU145)/20)+Z145</f>
        <v>0.26250000000000007</v>
      </c>
      <c r="AB145" s="467">
        <f t="shared" si="132"/>
        <v>0.27500000000000008</v>
      </c>
      <c r="AC145" s="467">
        <f t="shared" si="132"/>
        <v>0.28750000000000009</v>
      </c>
      <c r="AD145" s="467">
        <f t="shared" si="132"/>
        <v>0.3000000000000001</v>
      </c>
      <c r="AE145" s="467">
        <f t="shared" si="132"/>
        <v>0.31250000000000011</v>
      </c>
      <c r="AF145" s="467">
        <f t="shared" si="132"/>
        <v>0.32500000000000012</v>
      </c>
      <c r="AG145" s="467">
        <f t="shared" si="132"/>
        <v>0.33750000000000013</v>
      </c>
      <c r="AH145" s="467">
        <f t="shared" si="132"/>
        <v>0.35000000000000014</v>
      </c>
      <c r="AI145" s="467">
        <f t="shared" si="132"/>
        <v>0.36250000000000016</v>
      </c>
      <c r="AJ145" s="467">
        <f t="shared" si="132"/>
        <v>0.37500000000000017</v>
      </c>
      <c r="AK145" s="467">
        <f t="shared" si="132"/>
        <v>0.38750000000000018</v>
      </c>
      <c r="AL145" s="467">
        <f t="shared" si="132"/>
        <v>0.40000000000000019</v>
      </c>
      <c r="AM145" s="467">
        <f t="shared" si="132"/>
        <v>0.4125000000000002</v>
      </c>
      <c r="AN145" s="467">
        <f t="shared" si="132"/>
        <v>0.42500000000000021</v>
      </c>
      <c r="AO145" s="467">
        <f t="shared" si="132"/>
        <v>0.43750000000000022</v>
      </c>
      <c r="AP145" s="467">
        <f t="shared" si="132"/>
        <v>0.45000000000000023</v>
      </c>
      <c r="AQ145" s="467">
        <f t="shared" si="132"/>
        <v>0.46250000000000024</v>
      </c>
      <c r="AR145" s="467">
        <f t="shared" si="133"/>
        <v>0.47500000000000026</v>
      </c>
      <c r="AS145" s="467">
        <f t="shared" si="133"/>
        <v>0.48750000000000027</v>
      </c>
      <c r="AT145" s="467">
        <f t="shared" si="133"/>
        <v>0.50000000000000022</v>
      </c>
      <c r="AU145" s="502">
        <v>0.25</v>
      </c>
      <c r="AV145" s="502">
        <v>0.5</v>
      </c>
      <c r="AW145" s="723"/>
    </row>
    <row r="146" spans="1:50" x14ac:dyDescent="0.2">
      <c r="A146" s="436"/>
      <c r="B146" s="962" t="str">
        <f>B64</f>
        <v>VOL</v>
      </c>
      <c r="C146" s="951" t="str">
        <f>C64</f>
        <v>cassava-beans</v>
      </c>
      <c r="D146" s="467">
        <f>D64</f>
        <v>1194.5999999999999</v>
      </c>
      <c r="E146" s="474" t="str">
        <f t="shared" si="114"/>
        <v>Full till</v>
      </c>
      <c r="F146" s="467">
        <v>1</v>
      </c>
      <c r="G146" s="467">
        <f>1-SUM(G147:G148)</f>
        <v>0.97499999999999998</v>
      </c>
      <c r="H146" s="467">
        <f t="shared" ref="H146:AT146" si="134">1-SUM(H147:H148)</f>
        <v>0.95</v>
      </c>
      <c r="I146" s="467">
        <f t="shared" si="134"/>
        <v>0.92500000000000004</v>
      </c>
      <c r="J146" s="467">
        <f t="shared" si="134"/>
        <v>0.9</v>
      </c>
      <c r="K146" s="467">
        <f t="shared" si="134"/>
        <v>0.875</v>
      </c>
      <c r="L146" s="467">
        <f t="shared" si="134"/>
        <v>0.85</v>
      </c>
      <c r="M146" s="467">
        <f t="shared" si="134"/>
        <v>0.82499999999999996</v>
      </c>
      <c r="N146" s="467">
        <f t="shared" si="134"/>
        <v>0.8</v>
      </c>
      <c r="O146" s="467">
        <f t="shared" si="134"/>
        <v>0.77500000000000002</v>
      </c>
      <c r="P146" s="467">
        <f t="shared" si="134"/>
        <v>0.75</v>
      </c>
      <c r="Q146" s="467">
        <f t="shared" si="134"/>
        <v>0.72500000000000009</v>
      </c>
      <c r="R146" s="467">
        <f t="shared" si="134"/>
        <v>0.7</v>
      </c>
      <c r="S146" s="467">
        <f t="shared" si="134"/>
        <v>0.67500000000000004</v>
      </c>
      <c r="T146" s="467">
        <f t="shared" si="134"/>
        <v>0.64999999999999991</v>
      </c>
      <c r="U146" s="467">
        <f t="shared" si="134"/>
        <v>0.625</v>
      </c>
      <c r="V146" s="467">
        <f t="shared" si="134"/>
        <v>0.59999999999999987</v>
      </c>
      <c r="W146" s="467">
        <f t="shared" si="134"/>
        <v>0.57499999999999996</v>
      </c>
      <c r="X146" s="467">
        <f t="shared" si="134"/>
        <v>0.54999999999999982</v>
      </c>
      <c r="Y146" s="467">
        <f t="shared" si="134"/>
        <v>0.52499999999999991</v>
      </c>
      <c r="Z146" s="467">
        <f>1-SUM(Z147:Z148)</f>
        <v>0.49999999999999989</v>
      </c>
      <c r="AA146" s="467">
        <f t="shared" si="134"/>
        <v>0.48749999999999982</v>
      </c>
      <c r="AB146" s="467">
        <f t="shared" si="134"/>
        <v>0.47499999999999987</v>
      </c>
      <c r="AC146" s="467">
        <f t="shared" si="134"/>
        <v>0.46249999999999991</v>
      </c>
      <c r="AD146" s="467">
        <f t="shared" si="134"/>
        <v>0.44999999999999984</v>
      </c>
      <c r="AE146" s="467">
        <f t="shared" si="134"/>
        <v>0.43749999999999978</v>
      </c>
      <c r="AF146" s="467">
        <f t="shared" si="134"/>
        <v>0.42499999999999982</v>
      </c>
      <c r="AG146" s="467">
        <f t="shared" si="134"/>
        <v>0.41249999999999987</v>
      </c>
      <c r="AH146" s="467">
        <f t="shared" si="134"/>
        <v>0.3999999999999998</v>
      </c>
      <c r="AI146" s="467">
        <f t="shared" si="134"/>
        <v>0.38749999999999973</v>
      </c>
      <c r="AJ146" s="467">
        <f t="shared" si="134"/>
        <v>0.37499999999999978</v>
      </c>
      <c r="AK146" s="467">
        <f t="shared" si="134"/>
        <v>0.36249999999999982</v>
      </c>
      <c r="AL146" s="467">
        <f t="shared" si="134"/>
        <v>0.34999999999999976</v>
      </c>
      <c r="AM146" s="467">
        <f t="shared" si="134"/>
        <v>0.33749999999999969</v>
      </c>
      <c r="AN146" s="467">
        <f t="shared" si="134"/>
        <v>0.32499999999999973</v>
      </c>
      <c r="AO146" s="467">
        <f t="shared" si="134"/>
        <v>0.31249999999999978</v>
      </c>
      <c r="AP146" s="467">
        <f t="shared" si="134"/>
        <v>0.29999999999999971</v>
      </c>
      <c r="AQ146" s="467">
        <f t="shared" si="134"/>
        <v>0.28749999999999964</v>
      </c>
      <c r="AR146" s="467">
        <f t="shared" si="134"/>
        <v>0.27499999999999969</v>
      </c>
      <c r="AS146" s="467">
        <f t="shared" si="134"/>
        <v>0.26249999999999973</v>
      </c>
      <c r="AT146" s="467">
        <f t="shared" si="134"/>
        <v>0.24999999999999978</v>
      </c>
      <c r="AU146" s="502"/>
      <c r="AV146" s="502"/>
      <c r="AW146" s="723"/>
    </row>
    <row r="147" spans="1:50" x14ac:dyDescent="0.2">
      <c r="A147" s="436"/>
      <c r="B147" s="962"/>
      <c r="C147" s="951"/>
      <c r="D147" s="467"/>
      <c r="E147" s="474" t="str">
        <f t="shared" si="114"/>
        <v>Reduced till</v>
      </c>
      <c r="F147" s="467">
        <v>0</v>
      </c>
      <c r="G147" s="467">
        <f>$AU147/20</f>
        <v>1.2500000000000001E-2</v>
      </c>
      <c r="H147" s="467">
        <f>($AU147/20)+G147</f>
        <v>2.5000000000000001E-2</v>
      </c>
      <c r="I147" s="467">
        <f t="shared" ref="I147:X148" si="135">($AU147/20)+H147</f>
        <v>3.7500000000000006E-2</v>
      </c>
      <c r="J147" s="467">
        <f t="shared" si="135"/>
        <v>0.05</v>
      </c>
      <c r="K147" s="467">
        <f t="shared" si="135"/>
        <v>6.25E-2</v>
      </c>
      <c r="L147" s="467">
        <f t="shared" si="135"/>
        <v>7.4999999999999997E-2</v>
      </c>
      <c r="M147" s="467">
        <f t="shared" si="135"/>
        <v>8.7499999999999994E-2</v>
      </c>
      <c r="N147" s="467">
        <f t="shared" si="135"/>
        <v>9.9999999999999992E-2</v>
      </c>
      <c r="O147" s="467">
        <f t="shared" si="135"/>
        <v>0.11249999999999999</v>
      </c>
      <c r="P147" s="467">
        <f t="shared" si="135"/>
        <v>0.12499999999999999</v>
      </c>
      <c r="Q147" s="467">
        <f t="shared" si="135"/>
        <v>0.13749999999999998</v>
      </c>
      <c r="R147" s="467">
        <f t="shared" si="135"/>
        <v>0.15</v>
      </c>
      <c r="S147" s="467">
        <f t="shared" si="135"/>
        <v>0.16250000000000001</v>
      </c>
      <c r="T147" s="467">
        <f t="shared" si="135"/>
        <v>0.17500000000000002</v>
      </c>
      <c r="U147" s="467">
        <f t="shared" si="135"/>
        <v>0.18750000000000003</v>
      </c>
      <c r="V147" s="467">
        <f t="shared" si="135"/>
        <v>0.20000000000000004</v>
      </c>
      <c r="W147" s="467">
        <f t="shared" si="135"/>
        <v>0.21250000000000005</v>
      </c>
      <c r="X147" s="467">
        <f t="shared" si="135"/>
        <v>0.22500000000000006</v>
      </c>
      <c r="Y147" s="467">
        <f t="shared" ref="Y147:Z148" si="136">($AU147/20)+X147</f>
        <v>0.23750000000000007</v>
      </c>
      <c r="Z147" s="467">
        <f t="shared" si="136"/>
        <v>0.25000000000000006</v>
      </c>
      <c r="AA147" s="467">
        <f>(($AV147-$AU147)/20)+Z147</f>
        <v>0.25000000000000006</v>
      </c>
      <c r="AB147" s="467">
        <f t="shared" ref="AB147:AQ148" si="137">(($AV147-$AU147)/20)+AA147</f>
        <v>0.25000000000000006</v>
      </c>
      <c r="AC147" s="467">
        <f t="shared" si="137"/>
        <v>0.25000000000000006</v>
      </c>
      <c r="AD147" s="467">
        <f t="shared" si="137"/>
        <v>0.25000000000000006</v>
      </c>
      <c r="AE147" s="467">
        <f t="shared" si="137"/>
        <v>0.25000000000000006</v>
      </c>
      <c r="AF147" s="467">
        <f t="shared" si="137"/>
        <v>0.25000000000000006</v>
      </c>
      <c r="AG147" s="467">
        <f t="shared" si="137"/>
        <v>0.25000000000000006</v>
      </c>
      <c r="AH147" s="467">
        <f t="shared" si="137"/>
        <v>0.25000000000000006</v>
      </c>
      <c r="AI147" s="467">
        <f t="shared" si="137"/>
        <v>0.25000000000000006</v>
      </c>
      <c r="AJ147" s="467">
        <f t="shared" si="137"/>
        <v>0.25000000000000006</v>
      </c>
      <c r="AK147" s="467">
        <f t="shared" si="137"/>
        <v>0.25000000000000006</v>
      </c>
      <c r="AL147" s="467">
        <f t="shared" si="137"/>
        <v>0.25000000000000006</v>
      </c>
      <c r="AM147" s="467">
        <f t="shared" si="137"/>
        <v>0.25000000000000006</v>
      </c>
      <c r="AN147" s="467">
        <f t="shared" si="137"/>
        <v>0.25000000000000006</v>
      </c>
      <c r="AO147" s="467">
        <f t="shared" si="137"/>
        <v>0.25000000000000006</v>
      </c>
      <c r="AP147" s="467">
        <f t="shared" si="137"/>
        <v>0.25000000000000006</v>
      </c>
      <c r="AQ147" s="467">
        <f t="shared" si="137"/>
        <v>0.25000000000000006</v>
      </c>
      <c r="AR147" s="467">
        <f t="shared" ref="AR147:AT148" si="138">(($AV147-$AU147)/20)+AQ147</f>
        <v>0.25000000000000006</v>
      </c>
      <c r="AS147" s="467">
        <f t="shared" si="138"/>
        <v>0.25000000000000006</v>
      </c>
      <c r="AT147" s="467">
        <f t="shared" si="138"/>
        <v>0.25000000000000006</v>
      </c>
      <c r="AU147" s="502">
        <v>0.25</v>
      </c>
      <c r="AV147" s="502">
        <v>0.25</v>
      </c>
      <c r="AW147" s="723"/>
    </row>
    <row r="148" spans="1:50" x14ac:dyDescent="0.2">
      <c r="A148" s="436"/>
      <c r="B148" s="962"/>
      <c r="C148" s="951"/>
      <c r="D148" s="467"/>
      <c r="E148" s="474" t="str">
        <f t="shared" si="114"/>
        <v>No-till</v>
      </c>
      <c r="F148" s="467">
        <v>0</v>
      </c>
      <c r="G148" s="467">
        <f>$AU148/20</f>
        <v>1.2500000000000001E-2</v>
      </c>
      <c r="H148" s="467">
        <f>($AU148/20)+G148</f>
        <v>2.5000000000000001E-2</v>
      </c>
      <c r="I148" s="467">
        <f t="shared" si="135"/>
        <v>3.7500000000000006E-2</v>
      </c>
      <c r="J148" s="467">
        <f t="shared" si="135"/>
        <v>0.05</v>
      </c>
      <c r="K148" s="467">
        <f t="shared" si="135"/>
        <v>6.25E-2</v>
      </c>
      <c r="L148" s="467">
        <f t="shared" si="135"/>
        <v>7.4999999999999997E-2</v>
      </c>
      <c r="M148" s="467">
        <f t="shared" si="135"/>
        <v>8.7499999999999994E-2</v>
      </c>
      <c r="N148" s="467">
        <f t="shared" si="135"/>
        <v>9.9999999999999992E-2</v>
      </c>
      <c r="O148" s="467">
        <f t="shared" si="135"/>
        <v>0.11249999999999999</v>
      </c>
      <c r="P148" s="467">
        <f t="shared" si="135"/>
        <v>0.12499999999999999</v>
      </c>
      <c r="Q148" s="467">
        <f t="shared" si="135"/>
        <v>0.13749999999999998</v>
      </c>
      <c r="R148" s="467">
        <f t="shared" si="135"/>
        <v>0.15</v>
      </c>
      <c r="S148" s="467">
        <f t="shared" si="135"/>
        <v>0.16250000000000001</v>
      </c>
      <c r="T148" s="467">
        <f t="shared" si="135"/>
        <v>0.17500000000000002</v>
      </c>
      <c r="U148" s="467">
        <f t="shared" si="135"/>
        <v>0.18750000000000003</v>
      </c>
      <c r="V148" s="467">
        <f t="shared" si="135"/>
        <v>0.20000000000000004</v>
      </c>
      <c r="W148" s="467">
        <f t="shared" si="135"/>
        <v>0.21250000000000005</v>
      </c>
      <c r="X148" s="467">
        <f t="shared" si="135"/>
        <v>0.22500000000000006</v>
      </c>
      <c r="Y148" s="467">
        <f t="shared" si="136"/>
        <v>0.23750000000000007</v>
      </c>
      <c r="Z148" s="467">
        <f t="shared" si="136"/>
        <v>0.25000000000000006</v>
      </c>
      <c r="AA148" s="467">
        <f>(($AV148-$AU148)/20)+Z148</f>
        <v>0.26250000000000007</v>
      </c>
      <c r="AB148" s="467">
        <f t="shared" si="137"/>
        <v>0.27500000000000008</v>
      </c>
      <c r="AC148" s="467">
        <f t="shared" si="137"/>
        <v>0.28750000000000009</v>
      </c>
      <c r="AD148" s="467">
        <f t="shared" si="137"/>
        <v>0.3000000000000001</v>
      </c>
      <c r="AE148" s="467">
        <f t="shared" si="137"/>
        <v>0.31250000000000011</v>
      </c>
      <c r="AF148" s="467">
        <f t="shared" si="137"/>
        <v>0.32500000000000012</v>
      </c>
      <c r="AG148" s="467">
        <f t="shared" si="137"/>
        <v>0.33750000000000013</v>
      </c>
      <c r="AH148" s="467">
        <f t="shared" si="137"/>
        <v>0.35000000000000014</v>
      </c>
      <c r="AI148" s="467">
        <f t="shared" si="137"/>
        <v>0.36250000000000016</v>
      </c>
      <c r="AJ148" s="467">
        <f t="shared" si="137"/>
        <v>0.37500000000000017</v>
      </c>
      <c r="AK148" s="467">
        <f t="shared" si="137"/>
        <v>0.38750000000000018</v>
      </c>
      <c r="AL148" s="467">
        <f t="shared" si="137"/>
        <v>0.40000000000000019</v>
      </c>
      <c r="AM148" s="467">
        <f t="shared" si="137"/>
        <v>0.4125000000000002</v>
      </c>
      <c r="AN148" s="467">
        <f t="shared" si="137"/>
        <v>0.42500000000000021</v>
      </c>
      <c r="AO148" s="467">
        <f t="shared" si="137"/>
        <v>0.43750000000000022</v>
      </c>
      <c r="AP148" s="467">
        <f t="shared" si="137"/>
        <v>0.45000000000000023</v>
      </c>
      <c r="AQ148" s="467">
        <f t="shared" si="137"/>
        <v>0.46250000000000024</v>
      </c>
      <c r="AR148" s="467">
        <f t="shared" si="138"/>
        <v>0.47500000000000026</v>
      </c>
      <c r="AS148" s="467">
        <f t="shared" si="138"/>
        <v>0.48750000000000027</v>
      </c>
      <c r="AT148" s="467">
        <f t="shared" si="138"/>
        <v>0.50000000000000022</v>
      </c>
      <c r="AU148" s="502">
        <v>0.25</v>
      </c>
      <c r="AV148" s="502">
        <v>0.5</v>
      </c>
      <c r="AW148" s="723"/>
    </row>
    <row r="149" spans="1:50" x14ac:dyDescent="0.2">
      <c r="A149" s="436"/>
      <c r="B149" s="962" t="str">
        <f>B67</f>
        <v>LAC</v>
      </c>
      <c r="C149" s="951" t="str">
        <f>C67</f>
        <v>wheat</v>
      </c>
      <c r="D149" s="467">
        <f>D67</f>
        <v>2309</v>
      </c>
      <c r="E149" s="474" t="str">
        <f t="shared" si="114"/>
        <v>Full till</v>
      </c>
      <c r="F149" s="467">
        <v>1</v>
      </c>
      <c r="G149" s="467">
        <f>1-SUM(G150:G151)</f>
        <v>0.97499999999999998</v>
      </c>
      <c r="H149" s="467">
        <f t="shared" ref="H149:AT149" si="139">1-SUM(H150:H151)</f>
        <v>0.95</v>
      </c>
      <c r="I149" s="467">
        <f t="shared" si="139"/>
        <v>0.92500000000000004</v>
      </c>
      <c r="J149" s="467">
        <f t="shared" si="139"/>
        <v>0.9</v>
      </c>
      <c r="K149" s="467">
        <f t="shared" si="139"/>
        <v>0.875</v>
      </c>
      <c r="L149" s="467">
        <f t="shared" si="139"/>
        <v>0.85</v>
      </c>
      <c r="M149" s="467">
        <f t="shared" si="139"/>
        <v>0.82499999999999996</v>
      </c>
      <c r="N149" s="467">
        <f t="shared" si="139"/>
        <v>0.8</v>
      </c>
      <c r="O149" s="467">
        <f t="shared" si="139"/>
        <v>0.77500000000000002</v>
      </c>
      <c r="P149" s="467">
        <f t="shared" si="139"/>
        <v>0.75</v>
      </c>
      <c r="Q149" s="467">
        <f t="shared" si="139"/>
        <v>0.72500000000000009</v>
      </c>
      <c r="R149" s="467">
        <f t="shared" si="139"/>
        <v>0.7</v>
      </c>
      <c r="S149" s="467">
        <f t="shared" si="139"/>
        <v>0.67500000000000004</v>
      </c>
      <c r="T149" s="467">
        <f t="shared" si="139"/>
        <v>0.64999999999999991</v>
      </c>
      <c r="U149" s="467">
        <f t="shared" si="139"/>
        <v>0.625</v>
      </c>
      <c r="V149" s="467">
        <f t="shared" si="139"/>
        <v>0.59999999999999987</v>
      </c>
      <c r="W149" s="467">
        <f t="shared" si="139"/>
        <v>0.57499999999999996</v>
      </c>
      <c r="X149" s="467">
        <f t="shared" si="139"/>
        <v>0.54999999999999982</v>
      </c>
      <c r="Y149" s="467">
        <f>1-SUM(Y150:Y151)</f>
        <v>0.52499999999999991</v>
      </c>
      <c r="Z149" s="467">
        <f t="shared" si="139"/>
        <v>0.49999999999999989</v>
      </c>
      <c r="AA149" s="467">
        <f t="shared" si="139"/>
        <v>0.48749999999999982</v>
      </c>
      <c r="AB149" s="467">
        <f t="shared" si="139"/>
        <v>0.47499999999999987</v>
      </c>
      <c r="AC149" s="467">
        <f t="shared" si="139"/>
        <v>0.46249999999999991</v>
      </c>
      <c r="AD149" s="467">
        <f t="shared" si="139"/>
        <v>0.44999999999999984</v>
      </c>
      <c r="AE149" s="467">
        <f t="shared" si="139"/>
        <v>0.43749999999999978</v>
      </c>
      <c r="AF149" s="467">
        <f t="shared" si="139"/>
        <v>0.42499999999999982</v>
      </c>
      <c r="AG149" s="467">
        <f t="shared" si="139"/>
        <v>0.41249999999999987</v>
      </c>
      <c r="AH149" s="467">
        <f t="shared" si="139"/>
        <v>0.3999999999999998</v>
      </c>
      <c r="AI149" s="467">
        <f t="shared" si="139"/>
        <v>0.38749999999999973</v>
      </c>
      <c r="AJ149" s="467">
        <f t="shared" si="139"/>
        <v>0.37499999999999978</v>
      </c>
      <c r="AK149" s="467">
        <f t="shared" si="139"/>
        <v>0.36249999999999982</v>
      </c>
      <c r="AL149" s="467">
        <f t="shared" si="139"/>
        <v>0.34999999999999976</v>
      </c>
      <c r="AM149" s="467">
        <f t="shared" si="139"/>
        <v>0.33749999999999969</v>
      </c>
      <c r="AN149" s="467">
        <f t="shared" si="139"/>
        <v>0.32499999999999973</v>
      </c>
      <c r="AO149" s="467">
        <f t="shared" si="139"/>
        <v>0.31249999999999978</v>
      </c>
      <c r="AP149" s="467">
        <f t="shared" si="139"/>
        <v>0.29999999999999971</v>
      </c>
      <c r="AQ149" s="467">
        <f t="shared" si="139"/>
        <v>0.28749999999999964</v>
      </c>
      <c r="AR149" s="467">
        <f t="shared" si="139"/>
        <v>0.27499999999999969</v>
      </c>
      <c r="AS149" s="467">
        <f t="shared" si="139"/>
        <v>0.26249999999999973</v>
      </c>
      <c r="AT149" s="467">
        <f t="shared" si="139"/>
        <v>0.24999999999999978</v>
      </c>
      <c r="AU149" s="502"/>
      <c r="AV149" s="502"/>
      <c r="AW149" s="723"/>
    </row>
    <row r="150" spans="1:50" x14ac:dyDescent="0.2">
      <c r="A150" s="436"/>
      <c r="B150" s="962"/>
      <c r="C150" s="951"/>
      <c r="D150" s="467"/>
      <c r="E150" s="474" t="str">
        <f t="shared" si="114"/>
        <v>Reduced till</v>
      </c>
      <c r="F150" s="467">
        <v>0</v>
      </c>
      <c r="G150" s="467">
        <f>$AU150/20</f>
        <v>1.2500000000000001E-2</v>
      </c>
      <c r="H150" s="467">
        <f>($AU150/20)+G150</f>
        <v>2.5000000000000001E-2</v>
      </c>
      <c r="I150" s="467">
        <f t="shared" ref="I150:X151" si="140">($AU150/20)+H150</f>
        <v>3.7500000000000006E-2</v>
      </c>
      <c r="J150" s="467">
        <f t="shared" si="140"/>
        <v>0.05</v>
      </c>
      <c r="K150" s="467">
        <f t="shared" si="140"/>
        <v>6.25E-2</v>
      </c>
      <c r="L150" s="467">
        <f t="shared" si="140"/>
        <v>7.4999999999999997E-2</v>
      </c>
      <c r="M150" s="467">
        <f t="shared" si="140"/>
        <v>8.7499999999999994E-2</v>
      </c>
      <c r="N150" s="467">
        <f t="shared" si="140"/>
        <v>9.9999999999999992E-2</v>
      </c>
      <c r="O150" s="467">
        <f t="shared" si="140"/>
        <v>0.11249999999999999</v>
      </c>
      <c r="P150" s="467">
        <f t="shared" si="140"/>
        <v>0.12499999999999999</v>
      </c>
      <c r="Q150" s="467">
        <f t="shared" si="140"/>
        <v>0.13749999999999998</v>
      </c>
      <c r="R150" s="467">
        <f t="shared" si="140"/>
        <v>0.15</v>
      </c>
      <c r="S150" s="467">
        <f t="shared" si="140"/>
        <v>0.16250000000000001</v>
      </c>
      <c r="T150" s="467">
        <f t="shared" si="140"/>
        <v>0.17500000000000002</v>
      </c>
      <c r="U150" s="467">
        <f t="shared" si="140"/>
        <v>0.18750000000000003</v>
      </c>
      <c r="V150" s="467">
        <f t="shared" si="140"/>
        <v>0.20000000000000004</v>
      </c>
      <c r="W150" s="467">
        <f t="shared" si="140"/>
        <v>0.21250000000000005</v>
      </c>
      <c r="X150" s="467">
        <f t="shared" si="140"/>
        <v>0.22500000000000006</v>
      </c>
      <c r="Y150" s="467">
        <f t="shared" ref="Y150:Z151" si="141">($AU150/20)+X150</f>
        <v>0.23750000000000007</v>
      </c>
      <c r="Z150" s="467">
        <f t="shared" si="141"/>
        <v>0.25000000000000006</v>
      </c>
      <c r="AA150" s="467">
        <f>(($AV150-$AU150)/20)+Z150</f>
        <v>0.25000000000000006</v>
      </c>
      <c r="AB150" s="467">
        <f t="shared" ref="AB150:AQ151" si="142">(($AV150-$AU150)/20)+AA150</f>
        <v>0.25000000000000006</v>
      </c>
      <c r="AC150" s="467">
        <f t="shared" si="142"/>
        <v>0.25000000000000006</v>
      </c>
      <c r="AD150" s="467">
        <f t="shared" si="142"/>
        <v>0.25000000000000006</v>
      </c>
      <c r="AE150" s="467">
        <f t="shared" si="142"/>
        <v>0.25000000000000006</v>
      </c>
      <c r="AF150" s="467">
        <f t="shared" si="142"/>
        <v>0.25000000000000006</v>
      </c>
      <c r="AG150" s="467">
        <f t="shared" si="142"/>
        <v>0.25000000000000006</v>
      </c>
      <c r="AH150" s="467">
        <f t="shared" si="142"/>
        <v>0.25000000000000006</v>
      </c>
      <c r="AI150" s="467">
        <f t="shared" si="142"/>
        <v>0.25000000000000006</v>
      </c>
      <c r="AJ150" s="467">
        <f t="shared" si="142"/>
        <v>0.25000000000000006</v>
      </c>
      <c r="AK150" s="467">
        <f t="shared" si="142"/>
        <v>0.25000000000000006</v>
      </c>
      <c r="AL150" s="467">
        <f t="shared" si="142"/>
        <v>0.25000000000000006</v>
      </c>
      <c r="AM150" s="467">
        <f t="shared" si="142"/>
        <v>0.25000000000000006</v>
      </c>
      <c r="AN150" s="467">
        <f t="shared" si="142"/>
        <v>0.25000000000000006</v>
      </c>
      <c r="AO150" s="467">
        <f t="shared" si="142"/>
        <v>0.25000000000000006</v>
      </c>
      <c r="AP150" s="467">
        <f t="shared" si="142"/>
        <v>0.25000000000000006</v>
      </c>
      <c r="AQ150" s="467">
        <f t="shared" si="142"/>
        <v>0.25000000000000006</v>
      </c>
      <c r="AR150" s="467">
        <f t="shared" ref="AR150:AT151" si="143">(($AV150-$AU150)/20)+AQ150</f>
        <v>0.25000000000000006</v>
      </c>
      <c r="AS150" s="467">
        <f t="shared" si="143"/>
        <v>0.25000000000000006</v>
      </c>
      <c r="AT150" s="467">
        <f t="shared" si="143"/>
        <v>0.25000000000000006</v>
      </c>
      <c r="AU150" s="502">
        <v>0.25</v>
      </c>
      <c r="AV150" s="502">
        <v>0.25</v>
      </c>
      <c r="AW150" s="723"/>
    </row>
    <row r="151" spans="1:50" ht="17" thickBot="1" x14ac:dyDescent="0.25">
      <c r="A151" s="436"/>
      <c r="B151" s="963"/>
      <c r="C151" s="953"/>
      <c r="D151" s="710"/>
      <c r="E151" s="717" t="str">
        <f t="shared" si="114"/>
        <v>No-till</v>
      </c>
      <c r="F151" s="710">
        <v>0</v>
      </c>
      <c r="G151" s="710">
        <f>$AU151/20</f>
        <v>1.2500000000000001E-2</v>
      </c>
      <c r="H151" s="710">
        <f>($AU151/20)+G151</f>
        <v>2.5000000000000001E-2</v>
      </c>
      <c r="I151" s="710">
        <f t="shared" si="140"/>
        <v>3.7500000000000006E-2</v>
      </c>
      <c r="J151" s="710">
        <f t="shared" si="140"/>
        <v>0.05</v>
      </c>
      <c r="K151" s="710">
        <f t="shared" si="140"/>
        <v>6.25E-2</v>
      </c>
      <c r="L151" s="710">
        <f t="shared" si="140"/>
        <v>7.4999999999999997E-2</v>
      </c>
      <c r="M151" s="710">
        <f t="shared" si="140"/>
        <v>8.7499999999999994E-2</v>
      </c>
      <c r="N151" s="710">
        <f t="shared" si="140"/>
        <v>9.9999999999999992E-2</v>
      </c>
      <c r="O151" s="710">
        <f t="shared" si="140"/>
        <v>0.11249999999999999</v>
      </c>
      <c r="P151" s="710">
        <f t="shared" si="140"/>
        <v>0.12499999999999999</v>
      </c>
      <c r="Q151" s="710">
        <f t="shared" si="140"/>
        <v>0.13749999999999998</v>
      </c>
      <c r="R151" s="710">
        <f t="shared" si="140"/>
        <v>0.15</v>
      </c>
      <c r="S151" s="710">
        <f t="shared" si="140"/>
        <v>0.16250000000000001</v>
      </c>
      <c r="T151" s="710">
        <f t="shared" si="140"/>
        <v>0.17500000000000002</v>
      </c>
      <c r="U151" s="710">
        <f t="shared" si="140"/>
        <v>0.18750000000000003</v>
      </c>
      <c r="V151" s="710">
        <f t="shared" si="140"/>
        <v>0.20000000000000004</v>
      </c>
      <c r="W151" s="710">
        <f t="shared" si="140"/>
        <v>0.21250000000000005</v>
      </c>
      <c r="X151" s="710">
        <f t="shared" si="140"/>
        <v>0.22500000000000006</v>
      </c>
      <c r="Y151" s="710">
        <f t="shared" si="141"/>
        <v>0.23750000000000007</v>
      </c>
      <c r="Z151" s="710">
        <f t="shared" si="141"/>
        <v>0.25000000000000006</v>
      </c>
      <c r="AA151" s="710">
        <f>(($AV151-$AU151)/20)+Z151</f>
        <v>0.26250000000000007</v>
      </c>
      <c r="AB151" s="710">
        <f t="shared" si="142"/>
        <v>0.27500000000000008</v>
      </c>
      <c r="AC151" s="710">
        <f t="shared" si="142"/>
        <v>0.28750000000000009</v>
      </c>
      <c r="AD151" s="710">
        <f t="shared" si="142"/>
        <v>0.3000000000000001</v>
      </c>
      <c r="AE151" s="710">
        <f t="shared" si="142"/>
        <v>0.31250000000000011</v>
      </c>
      <c r="AF151" s="710">
        <f t="shared" si="142"/>
        <v>0.32500000000000012</v>
      </c>
      <c r="AG151" s="710">
        <f t="shared" si="142"/>
        <v>0.33750000000000013</v>
      </c>
      <c r="AH151" s="710">
        <f t="shared" si="142"/>
        <v>0.35000000000000014</v>
      </c>
      <c r="AI151" s="710">
        <f t="shared" si="142"/>
        <v>0.36250000000000016</v>
      </c>
      <c r="AJ151" s="710">
        <f t="shared" si="142"/>
        <v>0.37500000000000017</v>
      </c>
      <c r="AK151" s="710">
        <f t="shared" si="142"/>
        <v>0.38750000000000018</v>
      </c>
      <c r="AL151" s="710">
        <f t="shared" si="142"/>
        <v>0.40000000000000019</v>
      </c>
      <c r="AM151" s="710">
        <f t="shared" si="142"/>
        <v>0.4125000000000002</v>
      </c>
      <c r="AN151" s="710">
        <f t="shared" si="142"/>
        <v>0.42500000000000021</v>
      </c>
      <c r="AO151" s="710">
        <f t="shared" si="142"/>
        <v>0.43750000000000022</v>
      </c>
      <c r="AP151" s="710">
        <f t="shared" si="142"/>
        <v>0.45000000000000023</v>
      </c>
      <c r="AQ151" s="710">
        <f t="shared" si="142"/>
        <v>0.46250000000000024</v>
      </c>
      <c r="AR151" s="710">
        <f t="shared" si="143"/>
        <v>0.47500000000000026</v>
      </c>
      <c r="AS151" s="710">
        <f t="shared" si="143"/>
        <v>0.48750000000000027</v>
      </c>
      <c r="AT151" s="710">
        <f t="shared" si="143"/>
        <v>0.50000000000000022</v>
      </c>
      <c r="AU151" s="724">
        <v>0.25</v>
      </c>
      <c r="AV151" s="724">
        <v>0.5</v>
      </c>
      <c r="AW151" s="725"/>
    </row>
    <row r="152" spans="1:50" ht="17" thickBot="1" x14ac:dyDescent="0.25">
      <c r="A152" s="436"/>
    </row>
    <row r="153" spans="1:50" x14ac:dyDescent="0.2">
      <c r="A153" s="779"/>
      <c r="B153" s="722" t="s">
        <v>419</v>
      </c>
      <c r="C153" s="722"/>
      <c r="D153" s="722"/>
      <c r="E153" s="722"/>
      <c r="F153" s="722"/>
      <c r="G153" s="701"/>
      <c r="H153" s="701"/>
      <c r="I153" s="701"/>
      <c r="J153" s="701"/>
      <c r="K153" s="701"/>
      <c r="L153" s="701"/>
      <c r="M153" s="701"/>
      <c r="N153" s="701"/>
      <c r="O153" s="701"/>
      <c r="P153" s="701"/>
      <c r="Q153" s="701"/>
      <c r="R153" s="701"/>
      <c r="S153" s="701"/>
      <c r="T153" s="701"/>
      <c r="U153" s="701"/>
      <c r="V153" s="701"/>
      <c r="W153" s="701"/>
      <c r="X153" s="701"/>
      <c r="Y153" s="701"/>
      <c r="Z153" s="701"/>
      <c r="AA153" s="701"/>
      <c r="AB153" s="701"/>
      <c r="AC153" s="701"/>
      <c r="AD153" s="701"/>
      <c r="AE153" s="701"/>
      <c r="AF153" s="701"/>
      <c r="AG153" s="701"/>
      <c r="AH153" s="701"/>
      <c r="AI153" s="701"/>
      <c r="AJ153" s="701"/>
      <c r="AK153" s="701"/>
      <c r="AL153" s="701"/>
      <c r="AM153" s="701"/>
      <c r="AN153" s="701"/>
      <c r="AO153" s="701"/>
      <c r="AP153" s="701"/>
      <c r="AQ153" s="701"/>
      <c r="AR153" s="701"/>
      <c r="AS153" s="701"/>
      <c r="AT153" s="701"/>
      <c r="AU153" s="701"/>
      <c r="AV153" s="701"/>
      <c r="AW153" s="702"/>
    </row>
    <row r="154" spans="1:50" ht="15.75" customHeight="1" x14ac:dyDescent="0.2">
      <c r="A154" s="436"/>
      <c r="B154" s="726"/>
      <c r="C154" s="436"/>
      <c r="D154" s="436"/>
      <c r="E154" s="436"/>
      <c r="F154" s="475" t="s">
        <v>383</v>
      </c>
      <c r="G154" s="475" t="s">
        <v>384</v>
      </c>
      <c r="H154" s="475" t="s">
        <v>385</v>
      </c>
      <c r="I154" s="475" t="s">
        <v>386</v>
      </c>
      <c r="J154" s="475" t="s">
        <v>387</v>
      </c>
      <c r="K154" s="475" t="s">
        <v>388</v>
      </c>
      <c r="L154" s="475" t="s">
        <v>389</v>
      </c>
      <c r="M154" s="475" t="s">
        <v>390</v>
      </c>
      <c r="N154" s="475" t="s">
        <v>391</v>
      </c>
      <c r="O154" s="475" t="s">
        <v>392</v>
      </c>
      <c r="P154" s="475" t="s">
        <v>393</v>
      </c>
      <c r="Q154" s="475" t="s">
        <v>394</v>
      </c>
      <c r="R154" s="475" t="s">
        <v>395</v>
      </c>
      <c r="S154" s="475" t="s">
        <v>396</v>
      </c>
      <c r="T154" s="475" t="s">
        <v>397</v>
      </c>
      <c r="U154" s="475" t="s">
        <v>398</v>
      </c>
      <c r="V154" s="475" t="s">
        <v>399</v>
      </c>
      <c r="W154" s="475" t="s">
        <v>400</v>
      </c>
      <c r="X154" s="475" t="s">
        <v>401</v>
      </c>
      <c r="Y154" s="475" t="s">
        <v>402</v>
      </c>
      <c r="Z154" s="475" t="s">
        <v>120</v>
      </c>
      <c r="AA154" s="475" t="s">
        <v>146</v>
      </c>
      <c r="AB154" s="475" t="s">
        <v>147</v>
      </c>
      <c r="AC154" s="475" t="s">
        <v>148</v>
      </c>
      <c r="AD154" s="475" t="s">
        <v>149</v>
      </c>
      <c r="AE154" s="475" t="s">
        <v>150</v>
      </c>
      <c r="AF154" s="475" t="s">
        <v>151</v>
      </c>
      <c r="AG154" s="475" t="s">
        <v>152</v>
      </c>
      <c r="AH154" s="475" t="s">
        <v>153</v>
      </c>
      <c r="AI154" s="475" t="s">
        <v>154</v>
      </c>
      <c r="AJ154" s="475" t="s">
        <v>121</v>
      </c>
      <c r="AK154" s="475" t="s">
        <v>403</v>
      </c>
      <c r="AL154" s="475" t="s">
        <v>404</v>
      </c>
      <c r="AM154" s="475" t="s">
        <v>405</v>
      </c>
      <c r="AN154" s="475" t="s">
        <v>406</v>
      </c>
      <c r="AO154" s="475" t="s">
        <v>407</v>
      </c>
      <c r="AP154" s="475" t="s">
        <v>408</v>
      </c>
      <c r="AQ154" s="475" t="s">
        <v>409</v>
      </c>
      <c r="AR154" s="475" t="s">
        <v>410</v>
      </c>
      <c r="AS154" s="475" t="s">
        <v>411</v>
      </c>
      <c r="AT154" s="475" t="s">
        <v>412</v>
      </c>
      <c r="AU154" s="475"/>
      <c r="AV154" s="475"/>
      <c r="AW154" s="714" t="s">
        <v>155</v>
      </c>
    </row>
    <row r="155" spans="1:50" x14ac:dyDescent="0.2">
      <c r="A155" s="436"/>
      <c r="B155" s="704" t="str">
        <f>B133</f>
        <v>Soil</v>
      </c>
      <c r="C155" s="477" t="s">
        <v>370</v>
      </c>
      <c r="D155" s="477" t="s">
        <v>414</v>
      </c>
      <c r="E155" s="478" t="s">
        <v>415</v>
      </c>
      <c r="F155" s="477">
        <v>2000</v>
      </c>
      <c r="G155" s="477">
        <v>2001</v>
      </c>
      <c r="H155" s="477">
        <v>2002</v>
      </c>
      <c r="I155" s="477">
        <v>2003</v>
      </c>
      <c r="J155" s="477">
        <v>2004</v>
      </c>
      <c r="K155" s="477">
        <v>2005</v>
      </c>
      <c r="L155" s="477">
        <v>2006</v>
      </c>
      <c r="M155" s="477">
        <v>2007</v>
      </c>
      <c r="N155" s="477">
        <v>2008</v>
      </c>
      <c r="O155" s="477">
        <v>2009</v>
      </c>
      <c r="P155" s="477">
        <v>2010</v>
      </c>
      <c r="Q155" s="477">
        <v>2011</v>
      </c>
      <c r="R155" s="477">
        <v>2012</v>
      </c>
      <c r="S155" s="477">
        <v>2013</v>
      </c>
      <c r="T155" s="477">
        <v>2014</v>
      </c>
      <c r="U155" s="477">
        <v>2015</v>
      </c>
      <c r="V155" s="477">
        <v>2016</v>
      </c>
      <c r="W155" s="477">
        <v>2017</v>
      </c>
      <c r="X155" s="477">
        <v>2018</v>
      </c>
      <c r="Y155" s="477">
        <v>2019</v>
      </c>
      <c r="Z155" s="477">
        <v>2020</v>
      </c>
      <c r="AA155" s="477">
        <v>2021</v>
      </c>
      <c r="AB155" s="477">
        <v>2022</v>
      </c>
      <c r="AC155" s="477">
        <v>2023</v>
      </c>
      <c r="AD155" s="477">
        <v>2024</v>
      </c>
      <c r="AE155" s="477">
        <v>2025</v>
      </c>
      <c r="AF155" s="477">
        <v>2026</v>
      </c>
      <c r="AG155" s="477">
        <v>2027</v>
      </c>
      <c r="AH155" s="477">
        <v>2028</v>
      </c>
      <c r="AI155" s="477">
        <v>2029</v>
      </c>
      <c r="AJ155" s="477">
        <v>2030</v>
      </c>
      <c r="AK155" s="477">
        <v>2031</v>
      </c>
      <c r="AL155" s="477">
        <v>2032</v>
      </c>
      <c r="AM155" s="477">
        <v>2033</v>
      </c>
      <c r="AN155" s="477">
        <v>2034</v>
      </c>
      <c r="AO155" s="477">
        <v>2035</v>
      </c>
      <c r="AP155" s="477">
        <v>2036</v>
      </c>
      <c r="AQ155" s="477">
        <v>2037</v>
      </c>
      <c r="AR155" s="477">
        <v>2038</v>
      </c>
      <c r="AS155" s="477">
        <v>2039</v>
      </c>
      <c r="AT155" s="477">
        <v>2040</v>
      </c>
      <c r="AU155" s="477"/>
      <c r="AV155" s="477"/>
      <c r="AW155" s="723"/>
    </row>
    <row r="156" spans="1:50" x14ac:dyDescent="0.2">
      <c r="A156" s="436"/>
      <c r="B156" s="962" t="str">
        <f>B134</f>
        <v>HAC</v>
      </c>
      <c r="C156" s="951" t="str">
        <f>C134</f>
        <v>corn-soy-alfalfa-alfalfa</v>
      </c>
      <c r="D156" s="467">
        <f>D134</f>
        <v>23738.289999999997</v>
      </c>
      <c r="E156" s="474" t="str">
        <f>E134</f>
        <v>Full till</v>
      </c>
      <c r="F156" s="488">
        <f t="shared" ref="F156:AT156" si="144">_xlfn.XLOOKUP($AX156,$AX$24:$AX$41,$I$24:$I$41,"ERROR")*(F134*$D$134)</f>
        <v>435692.57465999993</v>
      </c>
      <c r="G156" s="488">
        <f t="shared" si="144"/>
        <v>419354.10311024997</v>
      </c>
      <c r="H156" s="488">
        <f t="shared" si="144"/>
        <v>403015.63156049995</v>
      </c>
      <c r="I156" s="488">
        <f t="shared" si="144"/>
        <v>386677.16001074988</v>
      </c>
      <c r="J156" s="488">
        <f t="shared" si="144"/>
        <v>370338.68846099993</v>
      </c>
      <c r="K156" s="488">
        <f t="shared" si="144"/>
        <v>354000.21691124991</v>
      </c>
      <c r="L156" s="488">
        <f t="shared" si="144"/>
        <v>337661.74536149995</v>
      </c>
      <c r="M156" s="488">
        <f t="shared" si="144"/>
        <v>321323.27381175</v>
      </c>
      <c r="N156" s="488">
        <f t="shared" si="144"/>
        <v>304984.80226199992</v>
      </c>
      <c r="O156" s="488">
        <f t="shared" si="144"/>
        <v>288646.33071225003</v>
      </c>
      <c r="P156" s="488">
        <f t="shared" si="144"/>
        <v>272307.85916249995</v>
      </c>
      <c r="Q156" s="488">
        <f t="shared" si="144"/>
        <v>255969.38761274997</v>
      </c>
      <c r="R156" s="488">
        <f t="shared" si="144"/>
        <v>239630.91606299998</v>
      </c>
      <c r="S156" s="488">
        <f t="shared" si="144"/>
        <v>223292.44451324997</v>
      </c>
      <c r="T156" s="488">
        <f t="shared" si="144"/>
        <v>206953.97296349995</v>
      </c>
      <c r="U156" s="488">
        <f t="shared" si="144"/>
        <v>190615.50141374991</v>
      </c>
      <c r="V156" s="488">
        <f t="shared" si="144"/>
        <v>174277.02986399995</v>
      </c>
      <c r="W156" s="488">
        <f t="shared" si="144"/>
        <v>157938.55831424988</v>
      </c>
      <c r="X156" s="488">
        <f t="shared" si="144"/>
        <v>141600.08676449989</v>
      </c>
      <c r="Y156" s="488">
        <f t="shared" si="144"/>
        <v>125261.61521474987</v>
      </c>
      <c r="Z156" s="488">
        <f t="shared" si="144"/>
        <v>108923.14366499988</v>
      </c>
      <c r="AA156" s="488">
        <f t="shared" si="144"/>
        <v>108923.14366499988</v>
      </c>
      <c r="AB156" s="488">
        <f t="shared" si="144"/>
        <v>108923.14366499988</v>
      </c>
      <c r="AC156" s="488">
        <f t="shared" si="144"/>
        <v>108923.14366499988</v>
      </c>
      <c r="AD156" s="488">
        <f t="shared" si="144"/>
        <v>108923.14366499988</v>
      </c>
      <c r="AE156" s="488">
        <f t="shared" si="144"/>
        <v>108923.14366499988</v>
      </c>
      <c r="AF156" s="488">
        <f t="shared" si="144"/>
        <v>108923.14366499988</v>
      </c>
      <c r="AG156" s="488">
        <f t="shared" si="144"/>
        <v>108923.14366499988</v>
      </c>
      <c r="AH156" s="488">
        <f t="shared" si="144"/>
        <v>108923.14366499988</v>
      </c>
      <c r="AI156" s="488">
        <f t="shared" si="144"/>
        <v>108923.14366499988</v>
      </c>
      <c r="AJ156" s="488">
        <f t="shared" si="144"/>
        <v>108923.14366499988</v>
      </c>
      <c r="AK156" s="488">
        <f t="shared" si="144"/>
        <v>108923.14366499988</v>
      </c>
      <c r="AL156" s="488">
        <f t="shared" si="144"/>
        <v>108923.14366499988</v>
      </c>
      <c r="AM156" s="488">
        <f t="shared" si="144"/>
        <v>108923.14366499988</v>
      </c>
      <c r="AN156" s="488">
        <f t="shared" si="144"/>
        <v>108923.14366499988</v>
      </c>
      <c r="AO156" s="488">
        <f t="shared" si="144"/>
        <v>108923.14366499988</v>
      </c>
      <c r="AP156" s="488">
        <f t="shared" si="144"/>
        <v>108923.14366499988</v>
      </c>
      <c r="AQ156" s="488">
        <f t="shared" si="144"/>
        <v>108923.14366499988</v>
      </c>
      <c r="AR156" s="488">
        <f t="shared" si="144"/>
        <v>108923.14366499988</v>
      </c>
      <c r="AS156" s="488">
        <f t="shared" si="144"/>
        <v>108923.14366499988</v>
      </c>
      <c r="AT156" s="488">
        <f t="shared" si="144"/>
        <v>108923.14366499988</v>
      </c>
      <c r="AU156" s="488"/>
      <c r="AV156" s="488"/>
      <c r="AW156" s="716"/>
      <c r="AX156" s="509" t="str">
        <f>B156&amp;"-"&amp;C156&amp;"-"&amp;E156</f>
        <v>HAC-corn-soy-alfalfa-alfalfa-Full till</v>
      </c>
    </row>
    <row r="157" spans="1:50" x14ac:dyDescent="0.2">
      <c r="A157" s="436"/>
      <c r="B157" s="962"/>
      <c r="C157" s="951"/>
      <c r="D157" s="467"/>
      <c r="E157" s="474" t="str">
        <f t="shared" ref="E157:E173" si="145">E135</f>
        <v>Reduced till</v>
      </c>
      <c r="F157" s="488">
        <f t="shared" ref="F157:AT157" si="146">_xlfn.XLOOKUP($AX157,$AX$24:$AX$41,$I$24:$I$41,"ERROR")*(F135*$D$134)</f>
        <v>0</v>
      </c>
      <c r="G157" s="488">
        <f t="shared" si="146"/>
        <v>5902.4878272359992</v>
      </c>
      <c r="H157" s="488">
        <f t="shared" si="146"/>
        <v>11804.975654471998</v>
      </c>
      <c r="I157" s="488">
        <f t="shared" si="146"/>
        <v>17707.463481708</v>
      </c>
      <c r="J157" s="488">
        <f t="shared" si="146"/>
        <v>23609.951308943997</v>
      </c>
      <c r="K157" s="488">
        <f t="shared" si="146"/>
        <v>29512.439136179997</v>
      </c>
      <c r="L157" s="488">
        <f t="shared" si="146"/>
        <v>35414.926963415994</v>
      </c>
      <c r="M157" s="488">
        <f t="shared" si="146"/>
        <v>41317.414790651987</v>
      </c>
      <c r="N157" s="488">
        <f t="shared" si="146"/>
        <v>47219.902617887994</v>
      </c>
      <c r="O157" s="488">
        <f t="shared" si="146"/>
        <v>53122.390445123987</v>
      </c>
      <c r="P157" s="488">
        <f t="shared" si="146"/>
        <v>59024.87827235998</v>
      </c>
      <c r="Q157" s="488">
        <f t="shared" si="146"/>
        <v>64927.366099595987</v>
      </c>
      <c r="R157" s="488">
        <f t="shared" si="146"/>
        <v>70829.853926831987</v>
      </c>
      <c r="S157" s="488">
        <f t="shared" si="146"/>
        <v>76732.341754067995</v>
      </c>
      <c r="T157" s="488">
        <f t="shared" si="146"/>
        <v>82634.829581304002</v>
      </c>
      <c r="U157" s="488">
        <f t="shared" si="146"/>
        <v>88537.317408539995</v>
      </c>
      <c r="V157" s="488">
        <f t="shared" si="146"/>
        <v>94439.805235776003</v>
      </c>
      <c r="W157" s="488">
        <f t="shared" si="146"/>
        <v>100342.29306301201</v>
      </c>
      <c r="X157" s="488">
        <f t="shared" si="146"/>
        <v>106244.78089024802</v>
      </c>
      <c r="Y157" s="488">
        <f t="shared" si="146"/>
        <v>112147.26871748402</v>
      </c>
      <c r="Z157" s="488">
        <f t="shared" si="146"/>
        <v>118049.75654472</v>
      </c>
      <c r="AA157" s="488">
        <f t="shared" si="146"/>
        <v>118049.75654472</v>
      </c>
      <c r="AB157" s="488">
        <f t="shared" si="146"/>
        <v>118049.75654472</v>
      </c>
      <c r="AC157" s="488">
        <f t="shared" si="146"/>
        <v>118049.75654472</v>
      </c>
      <c r="AD157" s="488">
        <f t="shared" si="146"/>
        <v>118049.75654472</v>
      </c>
      <c r="AE157" s="488">
        <f t="shared" si="146"/>
        <v>118049.75654472</v>
      </c>
      <c r="AF157" s="488">
        <f t="shared" si="146"/>
        <v>118049.75654472</v>
      </c>
      <c r="AG157" s="488">
        <f t="shared" si="146"/>
        <v>118049.75654472</v>
      </c>
      <c r="AH157" s="488">
        <f t="shared" si="146"/>
        <v>118049.75654472</v>
      </c>
      <c r="AI157" s="488">
        <f t="shared" si="146"/>
        <v>118049.75654472</v>
      </c>
      <c r="AJ157" s="488">
        <f t="shared" si="146"/>
        <v>118049.75654472</v>
      </c>
      <c r="AK157" s="488">
        <f t="shared" si="146"/>
        <v>118049.75654472</v>
      </c>
      <c r="AL157" s="488">
        <f t="shared" si="146"/>
        <v>118049.75654472</v>
      </c>
      <c r="AM157" s="488">
        <f t="shared" si="146"/>
        <v>118049.75654472</v>
      </c>
      <c r="AN157" s="488">
        <f t="shared" si="146"/>
        <v>118049.75654472</v>
      </c>
      <c r="AO157" s="488">
        <f t="shared" si="146"/>
        <v>118049.75654472</v>
      </c>
      <c r="AP157" s="488">
        <f t="shared" si="146"/>
        <v>118049.75654472</v>
      </c>
      <c r="AQ157" s="488">
        <f t="shared" si="146"/>
        <v>118049.75654472</v>
      </c>
      <c r="AR157" s="488">
        <f t="shared" si="146"/>
        <v>118049.75654472</v>
      </c>
      <c r="AS157" s="488">
        <f t="shared" si="146"/>
        <v>118049.75654472</v>
      </c>
      <c r="AT157" s="488">
        <f t="shared" si="146"/>
        <v>118049.75654472</v>
      </c>
      <c r="AU157" s="488"/>
      <c r="AV157" s="488"/>
      <c r="AW157" s="723"/>
      <c r="AX157" s="509" t="str">
        <f>B156&amp;"-"&amp;C156&amp;"-"&amp;E157</f>
        <v>HAC-corn-soy-alfalfa-alfalfa-Reduced till</v>
      </c>
    </row>
    <row r="158" spans="1:50" x14ac:dyDescent="0.2">
      <c r="A158" s="436"/>
      <c r="B158" s="962"/>
      <c r="C158" s="951"/>
      <c r="D158" s="467"/>
      <c r="E158" s="474" t="str">
        <f t="shared" si="145"/>
        <v>No-till</v>
      </c>
      <c r="F158" s="488">
        <f t="shared" ref="F158:AT158" si="147">_xlfn.XLOOKUP($AX158,$AX$24:$AX$41,$I$24:$I$41,"ERROR")*(F136*$D$134)</f>
        <v>0</v>
      </c>
      <c r="G158" s="488">
        <f t="shared" si="147"/>
        <v>12401.186546112</v>
      </c>
      <c r="H158" s="488">
        <f t="shared" si="147"/>
        <v>24802.373092223999</v>
      </c>
      <c r="I158" s="488">
        <f t="shared" si="147"/>
        <v>37203.559638336003</v>
      </c>
      <c r="J158" s="488">
        <f t="shared" si="147"/>
        <v>49604.746184447999</v>
      </c>
      <c r="K158" s="488">
        <f t="shared" si="147"/>
        <v>62005.932730559995</v>
      </c>
      <c r="L158" s="488">
        <f t="shared" si="147"/>
        <v>74407.119276671991</v>
      </c>
      <c r="M158" s="488">
        <f t="shared" si="147"/>
        <v>86808.305822783979</v>
      </c>
      <c r="N158" s="488">
        <f t="shared" si="147"/>
        <v>99209.492368895997</v>
      </c>
      <c r="O158" s="488">
        <f t="shared" si="147"/>
        <v>111610.67891500799</v>
      </c>
      <c r="P158" s="488">
        <f t="shared" si="147"/>
        <v>124011.86546111997</v>
      </c>
      <c r="Q158" s="488">
        <f t="shared" si="147"/>
        <v>136413.05200723198</v>
      </c>
      <c r="R158" s="488">
        <f t="shared" si="147"/>
        <v>148814.23855334398</v>
      </c>
      <c r="S158" s="488">
        <f t="shared" si="147"/>
        <v>161215.42509945601</v>
      </c>
      <c r="T158" s="488">
        <f t="shared" si="147"/>
        <v>173616.61164556802</v>
      </c>
      <c r="U158" s="488">
        <f t="shared" si="147"/>
        <v>186017.79819167999</v>
      </c>
      <c r="V158" s="488">
        <f t="shared" si="147"/>
        <v>198418.98473779202</v>
      </c>
      <c r="W158" s="488">
        <f t="shared" si="147"/>
        <v>210820.17128390406</v>
      </c>
      <c r="X158" s="488">
        <f t="shared" si="147"/>
        <v>223221.35783001606</v>
      </c>
      <c r="Y158" s="488">
        <f t="shared" si="147"/>
        <v>235622.54437612806</v>
      </c>
      <c r="Z158" s="488">
        <f t="shared" si="147"/>
        <v>248023.73092224004</v>
      </c>
      <c r="AA158" s="488">
        <f t="shared" si="147"/>
        <v>248023.73092224004</v>
      </c>
      <c r="AB158" s="488">
        <f t="shared" si="147"/>
        <v>248023.73092224004</v>
      </c>
      <c r="AC158" s="488">
        <f t="shared" si="147"/>
        <v>248023.73092224004</v>
      </c>
      <c r="AD158" s="488">
        <f t="shared" si="147"/>
        <v>248023.73092224004</v>
      </c>
      <c r="AE158" s="488">
        <f t="shared" si="147"/>
        <v>248023.73092224004</v>
      </c>
      <c r="AF158" s="488">
        <f t="shared" si="147"/>
        <v>248023.73092224004</v>
      </c>
      <c r="AG158" s="488">
        <f t="shared" si="147"/>
        <v>248023.73092224004</v>
      </c>
      <c r="AH158" s="488">
        <f t="shared" si="147"/>
        <v>248023.73092224004</v>
      </c>
      <c r="AI158" s="488">
        <f t="shared" si="147"/>
        <v>248023.73092224004</v>
      </c>
      <c r="AJ158" s="488">
        <f t="shared" si="147"/>
        <v>248023.73092224004</v>
      </c>
      <c r="AK158" s="488">
        <f t="shared" si="147"/>
        <v>248023.73092224004</v>
      </c>
      <c r="AL158" s="488">
        <f t="shared" si="147"/>
        <v>248023.73092224004</v>
      </c>
      <c r="AM158" s="488">
        <f t="shared" si="147"/>
        <v>248023.73092224004</v>
      </c>
      <c r="AN158" s="488">
        <f t="shared" si="147"/>
        <v>248023.73092224004</v>
      </c>
      <c r="AO158" s="488">
        <f t="shared" si="147"/>
        <v>248023.73092224004</v>
      </c>
      <c r="AP158" s="488">
        <f t="shared" si="147"/>
        <v>248023.73092224004</v>
      </c>
      <c r="AQ158" s="488">
        <f t="shared" si="147"/>
        <v>248023.73092224004</v>
      </c>
      <c r="AR158" s="488">
        <f t="shared" si="147"/>
        <v>248023.73092224004</v>
      </c>
      <c r="AS158" s="488">
        <f t="shared" si="147"/>
        <v>248023.73092224004</v>
      </c>
      <c r="AT158" s="488">
        <f t="shared" si="147"/>
        <v>248023.73092224004</v>
      </c>
      <c r="AU158" s="488"/>
      <c r="AV158" s="488"/>
      <c r="AW158" s="723"/>
      <c r="AX158" s="509" t="str">
        <f>B156&amp;"-"&amp;C156&amp;"-"&amp;E158</f>
        <v>HAC-corn-soy-alfalfa-alfalfa-No-till</v>
      </c>
    </row>
    <row r="159" spans="1:50" x14ac:dyDescent="0.2">
      <c r="A159" s="436"/>
      <c r="B159" s="962" t="str">
        <f t="shared" ref="B159:C159" si="148">B137</f>
        <v>HAC</v>
      </c>
      <c r="C159" s="951" t="str">
        <f t="shared" si="148"/>
        <v>wheat</v>
      </c>
      <c r="D159" s="467">
        <f>D137</f>
        <v>18182.52</v>
      </c>
      <c r="E159" s="474" t="str">
        <f t="shared" si="145"/>
        <v>Full till</v>
      </c>
      <c r="F159" s="488">
        <f t="shared" ref="F159:AT159" si="149">_xlfn.XLOOKUP($AX159,$AX$24:$AX$41,$I$24:$I$41,"ERROR")*(F137*$D$137)</f>
        <v>333721.97207999998</v>
      </c>
      <c r="G159" s="488">
        <f t="shared" si="149"/>
        <v>320373.09319679998</v>
      </c>
      <c r="H159" s="488">
        <f t="shared" si="149"/>
        <v>307024.21431360004</v>
      </c>
      <c r="I159" s="488">
        <f t="shared" si="149"/>
        <v>293675.33543039998</v>
      </c>
      <c r="J159" s="488">
        <f t="shared" si="149"/>
        <v>280326.45654719998</v>
      </c>
      <c r="K159" s="488">
        <f t="shared" si="149"/>
        <v>266977.57766400004</v>
      </c>
      <c r="L159" s="488">
        <f t="shared" si="149"/>
        <v>253628.69878080001</v>
      </c>
      <c r="M159" s="488">
        <f t="shared" si="149"/>
        <v>240279.81989759998</v>
      </c>
      <c r="N159" s="488">
        <f t="shared" si="149"/>
        <v>226930.94101439996</v>
      </c>
      <c r="O159" s="488">
        <f t="shared" si="149"/>
        <v>213582.06213119999</v>
      </c>
      <c r="P159" s="488">
        <f t="shared" si="149"/>
        <v>200233.18324800002</v>
      </c>
      <c r="Q159" s="488">
        <f t="shared" si="149"/>
        <v>186884.30436479999</v>
      </c>
      <c r="R159" s="488">
        <f t="shared" si="149"/>
        <v>173535.42548159996</v>
      </c>
      <c r="S159" s="488">
        <f t="shared" si="149"/>
        <v>160186.54659839996</v>
      </c>
      <c r="T159" s="488">
        <f t="shared" si="149"/>
        <v>146837.66771519993</v>
      </c>
      <c r="U159" s="488">
        <f t="shared" si="149"/>
        <v>133488.78883199993</v>
      </c>
      <c r="V159" s="488">
        <f t="shared" si="149"/>
        <v>120139.90994879992</v>
      </c>
      <c r="W159" s="488">
        <f t="shared" si="149"/>
        <v>106791.03106559991</v>
      </c>
      <c r="X159" s="488">
        <f t="shared" si="149"/>
        <v>93442.152182399892</v>
      </c>
      <c r="Y159" s="488">
        <f t="shared" si="149"/>
        <v>80093.273299199878</v>
      </c>
      <c r="Z159" s="488">
        <f t="shared" si="149"/>
        <v>66744.394415999865</v>
      </c>
      <c r="AA159" s="488">
        <f t="shared" si="149"/>
        <v>67578.699346199894</v>
      </c>
      <c r="AB159" s="488">
        <f t="shared" si="149"/>
        <v>68413.004276399879</v>
      </c>
      <c r="AC159" s="488">
        <f t="shared" si="149"/>
        <v>69247.30920659985</v>
      </c>
      <c r="AD159" s="488">
        <f t="shared" si="149"/>
        <v>70081.614136799835</v>
      </c>
      <c r="AE159" s="488">
        <f t="shared" si="149"/>
        <v>70915.919066999821</v>
      </c>
      <c r="AF159" s="488">
        <f t="shared" si="149"/>
        <v>71750.223997199806</v>
      </c>
      <c r="AG159" s="488">
        <f t="shared" si="149"/>
        <v>72584.528927399777</v>
      </c>
      <c r="AH159" s="488">
        <f t="shared" si="149"/>
        <v>73418.833857599806</v>
      </c>
      <c r="AI159" s="488">
        <f t="shared" si="149"/>
        <v>74253.13878779982</v>
      </c>
      <c r="AJ159" s="488">
        <f t="shared" si="149"/>
        <v>75087.443717999806</v>
      </c>
      <c r="AK159" s="488">
        <f t="shared" si="149"/>
        <v>75921.748648199791</v>
      </c>
      <c r="AL159" s="488">
        <f t="shared" si="149"/>
        <v>76756.053578399806</v>
      </c>
      <c r="AM159" s="488">
        <f t="shared" si="149"/>
        <v>77590.35850859982</v>
      </c>
      <c r="AN159" s="488">
        <f t="shared" si="149"/>
        <v>78424.663438799806</v>
      </c>
      <c r="AO159" s="488">
        <f t="shared" si="149"/>
        <v>79258.968368999791</v>
      </c>
      <c r="AP159" s="488">
        <f t="shared" si="149"/>
        <v>80093.273299199805</v>
      </c>
      <c r="AQ159" s="488">
        <f t="shared" si="149"/>
        <v>80927.57822939982</v>
      </c>
      <c r="AR159" s="488">
        <f t="shared" si="149"/>
        <v>81761.883159599805</v>
      </c>
      <c r="AS159" s="488">
        <f t="shared" si="149"/>
        <v>82596.188089799805</v>
      </c>
      <c r="AT159" s="488">
        <f t="shared" si="149"/>
        <v>83430.493019999849</v>
      </c>
      <c r="AU159" s="488"/>
      <c r="AV159" s="488"/>
      <c r="AW159" s="723"/>
      <c r="AX159" s="509" t="str">
        <f>B159&amp;"-"&amp;C159&amp;"-"&amp;E159</f>
        <v>HAC-wheat-Full till</v>
      </c>
    </row>
    <row r="160" spans="1:50" x14ac:dyDescent="0.2">
      <c r="A160" s="436"/>
      <c r="B160" s="962"/>
      <c r="C160" s="951"/>
      <c r="D160" s="467"/>
      <c r="E160" s="474" t="str">
        <f t="shared" si="145"/>
        <v>Reduced till</v>
      </c>
      <c r="F160" s="488">
        <f t="shared" ref="F160:AT160" si="150">_xlfn.XLOOKUP($AX160,$AX$24:$AX$41,$I$24:$I$41,"ERROR")*(F138*$D$137)</f>
        <v>0</v>
      </c>
      <c r="G160" s="488">
        <f t="shared" si="150"/>
        <v>10850.5308143232</v>
      </c>
      <c r="H160" s="488">
        <f t="shared" si="150"/>
        <v>21701.061628646399</v>
      </c>
      <c r="I160" s="488">
        <f t="shared" si="150"/>
        <v>32551.592442969599</v>
      </c>
      <c r="J160" s="488">
        <f t="shared" si="150"/>
        <v>43402.123257292798</v>
      </c>
      <c r="K160" s="488">
        <f t="shared" si="150"/>
        <v>54252.654071616002</v>
      </c>
      <c r="L160" s="488">
        <f t="shared" si="150"/>
        <v>65103.184885939198</v>
      </c>
      <c r="M160" s="488">
        <f t="shared" si="150"/>
        <v>75953.715700262401</v>
      </c>
      <c r="N160" s="488">
        <f t="shared" si="150"/>
        <v>86804.246514585597</v>
      </c>
      <c r="O160" s="488">
        <f t="shared" si="150"/>
        <v>97654.777328908807</v>
      </c>
      <c r="P160" s="488">
        <f t="shared" si="150"/>
        <v>108505.30814323202</v>
      </c>
      <c r="Q160" s="488">
        <f t="shared" si="150"/>
        <v>119355.83895755523</v>
      </c>
      <c r="R160" s="488">
        <f t="shared" si="150"/>
        <v>130206.36977187842</v>
      </c>
      <c r="S160" s="488">
        <f t="shared" si="150"/>
        <v>141056.90058620163</v>
      </c>
      <c r="T160" s="488">
        <f t="shared" si="150"/>
        <v>151907.43140052486</v>
      </c>
      <c r="U160" s="488">
        <f t="shared" si="150"/>
        <v>162757.96221484806</v>
      </c>
      <c r="V160" s="488">
        <f t="shared" si="150"/>
        <v>173608.49302917125</v>
      </c>
      <c r="W160" s="488">
        <f t="shared" si="150"/>
        <v>184459.02384349451</v>
      </c>
      <c r="X160" s="488">
        <f t="shared" si="150"/>
        <v>195309.5546578177</v>
      </c>
      <c r="Y160" s="488">
        <f t="shared" si="150"/>
        <v>206160.08547214093</v>
      </c>
      <c r="Z160" s="488">
        <f t="shared" si="150"/>
        <v>217010.61628646412</v>
      </c>
      <c r="AA160" s="488">
        <f t="shared" si="150"/>
        <v>210681.13997810893</v>
      </c>
      <c r="AB160" s="488">
        <f t="shared" si="150"/>
        <v>204351.66366975373</v>
      </c>
      <c r="AC160" s="488">
        <f t="shared" si="150"/>
        <v>198022.18736139854</v>
      </c>
      <c r="AD160" s="488">
        <f t="shared" si="150"/>
        <v>191692.71105304337</v>
      </c>
      <c r="AE160" s="488">
        <f t="shared" si="150"/>
        <v>185363.2347446882</v>
      </c>
      <c r="AF160" s="488">
        <f t="shared" si="150"/>
        <v>179033.75843633298</v>
      </c>
      <c r="AG160" s="488">
        <f t="shared" si="150"/>
        <v>172704.28212797779</v>
      </c>
      <c r="AH160" s="488">
        <f t="shared" si="150"/>
        <v>166374.80581962256</v>
      </c>
      <c r="AI160" s="488">
        <f t="shared" si="150"/>
        <v>160045.32951126737</v>
      </c>
      <c r="AJ160" s="488">
        <f t="shared" si="150"/>
        <v>153715.85320291214</v>
      </c>
      <c r="AK160" s="488">
        <f t="shared" si="150"/>
        <v>147386.37689455695</v>
      </c>
      <c r="AL160" s="488">
        <f t="shared" si="150"/>
        <v>141056.90058620175</v>
      </c>
      <c r="AM160" s="488">
        <f t="shared" si="150"/>
        <v>134727.42427784653</v>
      </c>
      <c r="AN160" s="488">
        <f t="shared" si="150"/>
        <v>128397.94796949133</v>
      </c>
      <c r="AO160" s="488">
        <f t="shared" si="150"/>
        <v>122068.47166113614</v>
      </c>
      <c r="AP160" s="488">
        <f t="shared" si="150"/>
        <v>115738.99535278093</v>
      </c>
      <c r="AQ160" s="488">
        <f t="shared" si="150"/>
        <v>109409.5190444257</v>
      </c>
      <c r="AR160" s="488">
        <f t="shared" si="150"/>
        <v>103080.04273607051</v>
      </c>
      <c r="AS160" s="488">
        <f t="shared" si="150"/>
        <v>96750.566427715297</v>
      </c>
      <c r="AT160" s="488">
        <f t="shared" si="150"/>
        <v>90421.090119360102</v>
      </c>
      <c r="AU160" s="488"/>
      <c r="AV160" s="488"/>
      <c r="AW160" s="723"/>
      <c r="AX160" s="509" t="str">
        <f>B159&amp;"-"&amp;C159&amp;"-"&amp;E160</f>
        <v>HAC-wheat-Reduced till</v>
      </c>
    </row>
    <row r="161" spans="1:50" x14ac:dyDescent="0.2">
      <c r="A161" s="436"/>
      <c r="B161" s="962"/>
      <c r="C161" s="951"/>
      <c r="D161" s="467"/>
      <c r="E161" s="474" t="str">
        <f t="shared" si="145"/>
        <v>No-till</v>
      </c>
      <c r="F161" s="488">
        <f t="shared" ref="F161:AT161" si="151">_xlfn.XLOOKUP($AX161,$AX$24:$AX$41,$I$24:$I$41,"ERROR")*(F139*$D$137)</f>
        <v>0</v>
      </c>
      <c r="G161" s="488">
        <f t="shared" si="151"/>
        <v>3799.5124737024003</v>
      </c>
      <c r="H161" s="488">
        <f t="shared" si="151"/>
        <v>7599.0249474048005</v>
      </c>
      <c r="I161" s="488">
        <f t="shared" si="151"/>
        <v>11398.537421107201</v>
      </c>
      <c r="J161" s="488">
        <f t="shared" si="151"/>
        <v>15198.049894809601</v>
      </c>
      <c r="K161" s="488">
        <f t="shared" si="151"/>
        <v>18997.562368512004</v>
      </c>
      <c r="L161" s="488">
        <f t="shared" si="151"/>
        <v>22797.074842214406</v>
      </c>
      <c r="M161" s="488">
        <f t="shared" si="151"/>
        <v>26596.587315916804</v>
      </c>
      <c r="N161" s="488">
        <f t="shared" si="151"/>
        <v>30396.099789619202</v>
      </c>
      <c r="O161" s="488">
        <f t="shared" si="151"/>
        <v>34195.6122633216</v>
      </c>
      <c r="P161" s="488">
        <f t="shared" si="151"/>
        <v>37995.124737024002</v>
      </c>
      <c r="Q161" s="488">
        <f t="shared" si="151"/>
        <v>41794.637210726396</v>
      </c>
      <c r="R161" s="488">
        <f t="shared" si="151"/>
        <v>45594.149684428805</v>
      </c>
      <c r="S161" s="488">
        <f t="shared" si="151"/>
        <v>49393.662158131199</v>
      </c>
      <c r="T161" s="488">
        <f t="shared" si="151"/>
        <v>53193.174631833601</v>
      </c>
      <c r="U161" s="488">
        <f t="shared" si="151"/>
        <v>56992.68710553601</v>
      </c>
      <c r="V161" s="488">
        <f t="shared" si="151"/>
        <v>60792.199579238404</v>
      </c>
      <c r="W161" s="488">
        <f t="shared" si="151"/>
        <v>64591.712052940806</v>
      </c>
      <c r="X161" s="488">
        <f t="shared" si="151"/>
        <v>68391.224526643215</v>
      </c>
      <c r="Y161" s="488">
        <f t="shared" si="151"/>
        <v>72190.737000345616</v>
      </c>
      <c r="Z161" s="488">
        <f t="shared" si="151"/>
        <v>75990.249474048018</v>
      </c>
      <c r="AA161" s="488">
        <f t="shared" si="151"/>
        <v>81689.51818460162</v>
      </c>
      <c r="AB161" s="488">
        <f t="shared" si="151"/>
        <v>87388.786895155223</v>
      </c>
      <c r="AC161" s="488">
        <f t="shared" si="151"/>
        <v>93088.05560570884</v>
      </c>
      <c r="AD161" s="488">
        <f t="shared" si="151"/>
        <v>98787.324316262428</v>
      </c>
      <c r="AE161" s="488">
        <f t="shared" si="151"/>
        <v>104486.59302681603</v>
      </c>
      <c r="AF161" s="488">
        <f t="shared" si="151"/>
        <v>110185.86173736965</v>
      </c>
      <c r="AG161" s="488">
        <f t="shared" si="151"/>
        <v>115885.13044792325</v>
      </c>
      <c r="AH161" s="488">
        <f t="shared" si="151"/>
        <v>121584.39915847687</v>
      </c>
      <c r="AI161" s="488">
        <f t="shared" si="151"/>
        <v>127283.66786903045</v>
      </c>
      <c r="AJ161" s="488">
        <f t="shared" si="151"/>
        <v>132982.93657958406</v>
      </c>
      <c r="AK161" s="488">
        <f t="shared" si="151"/>
        <v>138682.20529013767</v>
      </c>
      <c r="AL161" s="488">
        <f t="shared" si="151"/>
        <v>144381.47400069126</v>
      </c>
      <c r="AM161" s="488">
        <f t="shared" si="151"/>
        <v>150080.74271124488</v>
      </c>
      <c r="AN161" s="488">
        <f t="shared" si="151"/>
        <v>155780.0114217985</v>
      </c>
      <c r="AO161" s="488">
        <f t="shared" si="151"/>
        <v>161479.28013235211</v>
      </c>
      <c r="AP161" s="488">
        <f t="shared" si="151"/>
        <v>167178.5488429057</v>
      </c>
      <c r="AQ161" s="488">
        <f t="shared" si="151"/>
        <v>172877.81755345932</v>
      </c>
      <c r="AR161" s="488">
        <f t="shared" si="151"/>
        <v>178577.08626401291</v>
      </c>
      <c r="AS161" s="488">
        <f t="shared" si="151"/>
        <v>184276.35497456652</v>
      </c>
      <c r="AT161" s="488">
        <f t="shared" si="151"/>
        <v>189975.62368512008</v>
      </c>
      <c r="AU161" s="488"/>
      <c r="AV161" s="488"/>
      <c r="AW161" s="723"/>
      <c r="AX161" s="509" t="str">
        <f>B159&amp;"-"&amp;C159&amp;"-"&amp;E161</f>
        <v>HAC-wheat-No-till</v>
      </c>
    </row>
    <row r="162" spans="1:50" x14ac:dyDescent="0.2">
      <c r="A162" s="436"/>
      <c r="B162" s="962" t="str">
        <f t="shared" ref="B162:C162" si="152">B140</f>
        <v>HAC</v>
      </c>
      <c r="C162" s="951" t="str">
        <f t="shared" si="152"/>
        <v>cassava-beans</v>
      </c>
      <c r="D162" s="467">
        <f>D140</f>
        <v>8586.19</v>
      </c>
      <c r="E162" s="474" t="str">
        <f t="shared" si="145"/>
        <v>Full till</v>
      </c>
      <c r="F162" s="488">
        <f t="shared" ref="F162:AT162" si="153">_xlfn.XLOOKUP($AX162,$AX$24:$AX$41,$I$24:$I$41,"ERROR")*(F140*$D$140)</f>
        <v>157590.93126000001</v>
      </c>
      <c r="G162" s="488">
        <f t="shared" si="153"/>
        <v>153651.15797850001</v>
      </c>
      <c r="H162" s="488">
        <f t="shared" si="153"/>
        <v>149711.384697</v>
      </c>
      <c r="I162" s="488">
        <f t="shared" si="153"/>
        <v>145771.6114155</v>
      </c>
      <c r="J162" s="488">
        <f t="shared" si="153"/>
        <v>141831.83813400002</v>
      </c>
      <c r="K162" s="488">
        <f t="shared" si="153"/>
        <v>137892.06485249999</v>
      </c>
      <c r="L162" s="488">
        <f t="shared" si="153"/>
        <v>133952.29157100001</v>
      </c>
      <c r="M162" s="488">
        <f t="shared" si="153"/>
        <v>130012.51828949999</v>
      </c>
      <c r="N162" s="488">
        <f t="shared" si="153"/>
        <v>126072.74500800001</v>
      </c>
      <c r="O162" s="488">
        <f t="shared" si="153"/>
        <v>122132.97172650001</v>
      </c>
      <c r="P162" s="488">
        <f t="shared" si="153"/>
        <v>118193.19844499999</v>
      </c>
      <c r="Q162" s="488">
        <f t="shared" si="153"/>
        <v>114253.42516350001</v>
      </c>
      <c r="R162" s="488">
        <f t="shared" si="153"/>
        <v>110313.65188199999</v>
      </c>
      <c r="S162" s="488">
        <f t="shared" si="153"/>
        <v>106373.87860050001</v>
      </c>
      <c r="T162" s="488">
        <f t="shared" si="153"/>
        <v>102434.10531899998</v>
      </c>
      <c r="U162" s="488">
        <f t="shared" si="153"/>
        <v>98494.332037500004</v>
      </c>
      <c r="V162" s="488">
        <f t="shared" si="153"/>
        <v>94554.558755999984</v>
      </c>
      <c r="W162" s="488">
        <f t="shared" si="153"/>
        <v>90614.785474500008</v>
      </c>
      <c r="X162" s="488">
        <f t="shared" si="153"/>
        <v>86675.012192999973</v>
      </c>
      <c r="Y162" s="488">
        <f t="shared" si="153"/>
        <v>82735.238911499997</v>
      </c>
      <c r="Z162" s="488">
        <f t="shared" si="153"/>
        <v>78795.465629999992</v>
      </c>
      <c r="AA162" s="488">
        <f t="shared" si="153"/>
        <v>76825.578989249974</v>
      </c>
      <c r="AB162" s="488">
        <f t="shared" si="153"/>
        <v>74855.692348499986</v>
      </c>
      <c r="AC162" s="488">
        <f t="shared" si="153"/>
        <v>72885.805707749983</v>
      </c>
      <c r="AD162" s="488">
        <f t="shared" si="153"/>
        <v>70915.919066999981</v>
      </c>
      <c r="AE162" s="488">
        <f t="shared" si="153"/>
        <v>68946.032426249963</v>
      </c>
      <c r="AF162" s="488">
        <f t="shared" si="153"/>
        <v>66976.145785499975</v>
      </c>
      <c r="AG162" s="488">
        <f t="shared" si="153"/>
        <v>65006.25914474998</v>
      </c>
      <c r="AH162" s="488">
        <f t="shared" si="153"/>
        <v>63036.372503999963</v>
      </c>
      <c r="AI162" s="488">
        <f t="shared" si="153"/>
        <v>61066.48586324996</v>
      </c>
      <c r="AJ162" s="488">
        <f t="shared" si="153"/>
        <v>59096.599222499965</v>
      </c>
      <c r="AK162" s="488">
        <f t="shared" si="153"/>
        <v>57126.712581749976</v>
      </c>
      <c r="AL162" s="488">
        <f t="shared" si="153"/>
        <v>55156.825940999959</v>
      </c>
      <c r="AM162" s="488">
        <f t="shared" si="153"/>
        <v>53186.939300249956</v>
      </c>
      <c r="AN162" s="488">
        <f t="shared" si="153"/>
        <v>51217.052659499961</v>
      </c>
      <c r="AO162" s="488">
        <f t="shared" si="153"/>
        <v>49247.166018749973</v>
      </c>
      <c r="AP162" s="488">
        <f t="shared" si="153"/>
        <v>47277.279377999956</v>
      </c>
      <c r="AQ162" s="488">
        <f t="shared" si="153"/>
        <v>45307.392737249938</v>
      </c>
      <c r="AR162" s="488">
        <f t="shared" si="153"/>
        <v>43337.50609649995</v>
      </c>
      <c r="AS162" s="488">
        <f t="shared" si="153"/>
        <v>41367.619455749955</v>
      </c>
      <c r="AT162" s="488">
        <f t="shared" si="153"/>
        <v>39397.732814999967</v>
      </c>
      <c r="AU162" s="488"/>
      <c r="AV162" s="488"/>
      <c r="AW162" s="723"/>
      <c r="AX162" s="509" t="str">
        <f>B162&amp;"-"&amp;C162&amp;"-"&amp;E162</f>
        <v>HAC-cassava-beans-Full till</v>
      </c>
    </row>
    <row r="163" spans="1:50" x14ac:dyDescent="0.2">
      <c r="A163" s="436"/>
      <c r="B163" s="962"/>
      <c r="C163" s="951"/>
      <c r="D163" s="467"/>
      <c r="E163" s="474" t="str">
        <f t="shared" si="145"/>
        <v>Reduced till</v>
      </c>
      <c r="F163" s="488">
        <f t="shared" ref="F163:AT163" si="154">_xlfn.XLOOKUP($AX163,$AX$24:$AX$41,$I$24:$I$41,"ERROR")*(F141*$D$140)</f>
        <v>0</v>
      </c>
      <c r="G163" s="488">
        <f t="shared" si="154"/>
        <v>2134.9424055960003</v>
      </c>
      <c r="H163" s="488">
        <f t="shared" si="154"/>
        <v>4269.8848111920006</v>
      </c>
      <c r="I163" s="488">
        <f t="shared" si="154"/>
        <v>6404.8272167880004</v>
      </c>
      <c r="J163" s="488">
        <f t="shared" si="154"/>
        <v>8539.7696223840012</v>
      </c>
      <c r="K163" s="488">
        <f t="shared" si="154"/>
        <v>10674.71202798</v>
      </c>
      <c r="L163" s="488">
        <f t="shared" si="154"/>
        <v>12809.654433575999</v>
      </c>
      <c r="M163" s="488">
        <f t="shared" si="154"/>
        <v>14944.596839171998</v>
      </c>
      <c r="N163" s="488">
        <f t="shared" si="154"/>
        <v>17079.539244767999</v>
      </c>
      <c r="O163" s="488">
        <f t="shared" si="154"/>
        <v>19214.481650364</v>
      </c>
      <c r="P163" s="488">
        <f t="shared" si="154"/>
        <v>21349.424055959997</v>
      </c>
      <c r="Q163" s="488">
        <f t="shared" si="154"/>
        <v>23484.366461555997</v>
      </c>
      <c r="R163" s="488">
        <f t="shared" si="154"/>
        <v>25619.308867151998</v>
      </c>
      <c r="S163" s="488">
        <f t="shared" si="154"/>
        <v>27754.251272747999</v>
      </c>
      <c r="T163" s="488">
        <f t="shared" si="154"/>
        <v>29889.193678344003</v>
      </c>
      <c r="U163" s="488">
        <f t="shared" si="154"/>
        <v>32024.136083940008</v>
      </c>
      <c r="V163" s="488">
        <f t="shared" si="154"/>
        <v>34159.078489536012</v>
      </c>
      <c r="W163" s="488">
        <f t="shared" si="154"/>
        <v>36294.020895132009</v>
      </c>
      <c r="X163" s="488">
        <f t="shared" si="154"/>
        <v>38428.963300728014</v>
      </c>
      <c r="Y163" s="488">
        <f t="shared" si="154"/>
        <v>40563.905706324011</v>
      </c>
      <c r="Z163" s="488">
        <f t="shared" si="154"/>
        <v>42698.848111920008</v>
      </c>
      <c r="AA163" s="488">
        <f t="shared" si="154"/>
        <v>42698.848111920008</v>
      </c>
      <c r="AB163" s="488">
        <f t="shared" si="154"/>
        <v>42698.848111920008</v>
      </c>
      <c r="AC163" s="488">
        <f t="shared" si="154"/>
        <v>42698.848111920008</v>
      </c>
      <c r="AD163" s="488">
        <f t="shared" si="154"/>
        <v>42698.848111920008</v>
      </c>
      <c r="AE163" s="488">
        <f t="shared" si="154"/>
        <v>42698.848111920008</v>
      </c>
      <c r="AF163" s="488">
        <f t="shared" si="154"/>
        <v>42698.848111920008</v>
      </c>
      <c r="AG163" s="488">
        <f t="shared" si="154"/>
        <v>42698.848111920008</v>
      </c>
      <c r="AH163" s="488">
        <f t="shared" si="154"/>
        <v>42698.848111920008</v>
      </c>
      <c r="AI163" s="488">
        <f t="shared" si="154"/>
        <v>42698.848111920008</v>
      </c>
      <c r="AJ163" s="488">
        <f t="shared" si="154"/>
        <v>42698.848111920008</v>
      </c>
      <c r="AK163" s="488">
        <f t="shared" si="154"/>
        <v>42698.848111920008</v>
      </c>
      <c r="AL163" s="488">
        <f t="shared" si="154"/>
        <v>42698.848111920008</v>
      </c>
      <c r="AM163" s="488">
        <f t="shared" si="154"/>
        <v>42698.848111920008</v>
      </c>
      <c r="AN163" s="488">
        <f t="shared" si="154"/>
        <v>42698.848111920008</v>
      </c>
      <c r="AO163" s="488">
        <f t="shared" si="154"/>
        <v>42698.848111920008</v>
      </c>
      <c r="AP163" s="488">
        <f t="shared" si="154"/>
        <v>42698.848111920008</v>
      </c>
      <c r="AQ163" s="488">
        <f t="shared" si="154"/>
        <v>42698.848111920008</v>
      </c>
      <c r="AR163" s="488">
        <f t="shared" si="154"/>
        <v>42698.848111920008</v>
      </c>
      <c r="AS163" s="488">
        <f t="shared" si="154"/>
        <v>42698.848111920008</v>
      </c>
      <c r="AT163" s="488">
        <f t="shared" si="154"/>
        <v>42698.848111920008</v>
      </c>
      <c r="AU163" s="488"/>
      <c r="AV163" s="488"/>
      <c r="AW163" s="723"/>
      <c r="AX163" s="509" t="str">
        <f>B162&amp;"-"&amp;C162&amp;"-"&amp;E163</f>
        <v>HAC-cassava-beans-Reduced till</v>
      </c>
    </row>
    <row r="164" spans="1:50" x14ac:dyDescent="0.2">
      <c r="A164" s="436"/>
      <c r="B164" s="962"/>
      <c r="C164" s="951"/>
      <c r="D164" s="467"/>
      <c r="E164" s="474" t="str">
        <f t="shared" si="145"/>
        <v>No-till</v>
      </c>
      <c r="F164" s="488">
        <f t="shared" ref="F164:AT164" si="155">_xlfn.XLOOKUP($AX164,$AX$24:$AX$41,$I$24:$I$41,"ERROR")*(F142*$D$140)</f>
        <v>0</v>
      </c>
      <c r="G164" s="488">
        <f t="shared" si="155"/>
        <v>2242.7677796160006</v>
      </c>
      <c r="H164" s="488">
        <f t="shared" si="155"/>
        <v>4485.5355592320011</v>
      </c>
      <c r="I164" s="488">
        <f t="shared" si="155"/>
        <v>6728.3033388480017</v>
      </c>
      <c r="J164" s="488">
        <f t="shared" si="155"/>
        <v>8971.0711184640022</v>
      </c>
      <c r="K164" s="488">
        <f t="shared" si="155"/>
        <v>11213.838898080001</v>
      </c>
      <c r="L164" s="488">
        <f t="shared" si="155"/>
        <v>13456.606677696001</v>
      </c>
      <c r="M164" s="488">
        <f t="shared" si="155"/>
        <v>15699.374457312</v>
      </c>
      <c r="N164" s="488">
        <f t="shared" si="155"/>
        <v>17942.142236928001</v>
      </c>
      <c r="O164" s="488">
        <f t="shared" si="155"/>
        <v>20184.910016544</v>
      </c>
      <c r="P164" s="488">
        <f t="shared" si="155"/>
        <v>22427.677796159998</v>
      </c>
      <c r="Q164" s="488">
        <f t="shared" si="155"/>
        <v>24670.445575776001</v>
      </c>
      <c r="R164" s="488">
        <f t="shared" si="155"/>
        <v>26913.213355392003</v>
      </c>
      <c r="S164" s="488">
        <f t="shared" si="155"/>
        <v>29155.981135008002</v>
      </c>
      <c r="T164" s="488">
        <f t="shared" si="155"/>
        <v>31398.748914624004</v>
      </c>
      <c r="U164" s="488">
        <f t="shared" si="155"/>
        <v>33641.51669424001</v>
      </c>
      <c r="V164" s="488">
        <f t="shared" si="155"/>
        <v>35884.284473856016</v>
      </c>
      <c r="W164" s="488">
        <f t="shared" si="155"/>
        <v>38127.052253472015</v>
      </c>
      <c r="X164" s="488">
        <f t="shared" si="155"/>
        <v>40369.820033088014</v>
      </c>
      <c r="Y164" s="488">
        <f t="shared" si="155"/>
        <v>42612.58781270402</v>
      </c>
      <c r="Z164" s="488">
        <f t="shared" si="155"/>
        <v>44855.355592320018</v>
      </c>
      <c r="AA164" s="488">
        <f t="shared" si="155"/>
        <v>47098.123371936024</v>
      </c>
      <c r="AB164" s="488">
        <f t="shared" si="155"/>
        <v>49340.891151552016</v>
      </c>
      <c r="AC164" s="488">
        <f t="shared" si="155"/>
        <v>51583.658931168022</v>
      </c>
      <c r="AD164" s="488">
        <f t="shared" si="155"/>
        <v>53826.426710784021</v>
      </c>
      <c r="AE164" s="488">
        <f t="shared" si="155"/>
        <v>56069.194490400027</v>
      </c>
      <c r="AF164" s="488">
        <f t="shared" si="155"/>
        <v>58311.962270016025</v>
      </c>
      <c r="AG164" s="488">
        <f t="shared" si="155"/>
        <v>60554.730049632031</v>
      </c>
      <c r="AH164" s="488">
        <f t="shared" si="155"/>
        <v>62797.497829248037</v>
      </c>
      <c r="AI164" s="488">
        <f t="shared" si="155"/>
        <v>65040.265608864036</v>
      </c>
      <c r="AJ164" s="488">
        <f t="shared" si="155"/>
        <v>67283.033388480035</v>
      </c>
      <c r="AK164" s="488">
        <f t="shared" si="155"/>
        <v>69525.801168096034</v>
      </c>
      <c r="AL164" s="488">
        <f t="shared" si="155"/>
        <v>71768.568947712047</v>
      </c>
      <c r="AM164" s="488">
        <f t="shared" si="155"/>
        <v>74011.336727328046</v>
      </c>
      <c r="AN164" s="488">
        <f t="shared" si="155"/>
        <v>76254.104506944044</v>
      </c>
      <c r="AO164" s="488">
        <f t="shared" si="155"/>
        <v>78496.872286560043</v>
      </c>
      <c r="AP164" s="488">
        <f t="shared" si="155"/>
        <v>80739.640066176056</v>
      </c>
      <c r="AQ164" s="488">
        <f t="shared" si="155"/>
        <v>82982.407845792055</v>
      </c>
      <c r="AR164" s="488">
        <f t="shared" si="155"/>
        <v>85225.175625408054</v>
      </c>
      <c r="AS164" s="488">
        <f t="shared" si="155"/>
        <v>87467.943405024052</v>
      </c>
      <c r="AT164" s="488">
        <f t="shared" si="155"/>
        <v>89710.711184640051</v>
      </c>
      <c r="AU164" s="488"/>
      <c r="AV164" s="488"/>
      <c r="AW164" s="723"/>
      <c r="AX164" s="509" t="str">
        <f>B162&amp;"-"&amp;C162&amp;"-"&amp;E164</f>
        <v>HAC-cassava-beans-No-till</v>
      </c>
    </row>
    <row r="165" spans="1:50" x14ac:dyDescent="0.2">
      <c r="A165" s="436"/>
      <c r="B165" s="962" t="str">
        <f t="shared" ref="B165:C165" si="156">B143</f>
        <v>VOL</v>
      </c>
      <c r="C165" s="951" t="str">
        <f t="shared" si="156"/>
        <v>vegetables</v>
      </c>
      <c r="D165" s="467">
        <f>D143</f>
        <v>4235.4000000000005</v>
      </c>
      <c r="E165" s="474" t="str">
        <f t="shared" si="145"/>
        <v>Full till</v>
      </c>
      <c r="F165" s="488">
        <f t="shared" ref="F165:AT165" si="157">_xlfn.XLOOKUP($AX165,$AX$24:$AX$41,$I$24:$I$41,"ERROR")*(F143*$D$143)</f>
        <v>185086.98</v>
      </c>
      <c r="G165" s="488">
        <f t="shared" si="157"/>
        <v>180459.80549999999</v>
      </c>
      <c r="H165" s="488">
        <f t="shared" si="157"/>
        <v>175832.63099999999</v>
      </c>
      <c r="I165" s="488">
        <f t="shared" si="157"/>
        <v>171205.45650000003</v>
      </c>
      <c r="J165" s="488">
        <f t="shared" si="157"/>
        <v>166578.28200000001</v>
      </c>
      <c r="K165" s="488">
        <f t="shared" si="157"/>
        <v>161951.10750000001</v>
      </c>
      <c r="L165" s="488">
        <f t="shared" si="157"/>
        <v>157323.93299999999</v>
      </c>
      <c r="M165" s="488">
        <f t="shared" si="157"/>
        <v>152696.7585</v>
      </c>
      <c r="N165" s="488">
        <f t="shared" si="157"/>
        <v>148069.584</v>
      </c>
      <c r="O165" s="488">
        <f t="shared" si="157"/>
        <v>143442.40950000001</v>
      </c>
      <c r="P165" s="488">
        <f t="shared" si="157"/>
        <v>138815.23499999999</v>
      </c>
      <c r="Q165" s="488">
        <f t="shared" si="157"/>
        <v>134188.06050000002</v>
      </c>
      <c r="R165" s="488">
        <f t="shared" si="157"/>
        <v>129560.886</v>
      </c>
      <c r="S165" s="488">
        <f t="shared" si="157"/>
        <v>124933.7115</v>
      </c>
      <c r="T165" s="488">
        <f t="shared" si="157"/>
        <v>120306.53699999998</v>
      </c>
      <c r="U165" s="488">
        <f t="shared" si="157"/>
        <v>115679.3625</v>
      </c>
      <c r="V165" s="488">
        <f t="shared" si="157"/>
        <v>111052.18799999998</v>
      </c>
      <c r="W165" s="488">
        <f t="shared" si="157"/>
        <v>106425.01349999999</v>
      </c>
      <c r="X165" s="488">
        <f t="shared" si="157"/>
        <v>101797.83899999996</v>
      </c>
      <c r="Y165" s="488">
        <f t="shared" si="157"/>
        <v>97170.664499999999</v>
      </c>
      <c r="Z165" s="488">
        <f t="shared" si="157"/>
        <v>92543.489999999976</v>
      </c>
      <c r="AA165" s="488">
        <f t="shared" si="157"/>
        <v>90229.902749999979</v>
      </c>
      <c r="AB165" s="488">
        <f t="shared" si="157"/>
        <v>87916.315499999968</v>
      </c>
      <c r="AC165" s="488">
        <f t="shared" si="157"/>
        <v>85602.728249999986</v>
      </c>
      <c r="AD165" s="488">
        <f t="shared" si="157"/>
        <v>83289.140999999974</v>
      </c>
      <c r="AE165" s="488">
        <f t="shared" si="157"/>
        <v>80975.553749999963</v>
      </c>
      <c r="AF165" s="488">
        <f t="shared" si="157"/>
        <v>78661.966499999966</v>
      </c>
      <c r="AG165" s="488">
        <f t="shared" si="157"/>
        <v>76348.379249999984</v>
      </c>
      <c r="AH165" s="488">
        <f t="shared" si="157"/>
        <v>74034.791999999972</v>
      </c>
      <c r="AI165" s="488">
        <f t="shared" si="157"/>
        <v>71721.204749999946</v>
      </c>
      <c r="AJ165" s="488">
        <f t="shared" si="157"/>
        <v>69407.617499999964</v>
      </c>
      <c r="AK165" s="488">
        <f t="shared" si="157"/>
        <v>67094.030249999967</v>
      </c>
      <c r="AL165" s="488">
        <f t="shared" si="157"/>
        <v>64780.442999999956</v>
      </c>
      <c r="AM165" s="488">
        <f t="shared" si="157"/>
        <v>62466.855749999944</v>
      </c>
      <c r="AN165" s="488">
        <f t="shared" si="157"/>
        <v>60153.268499999947</v>
      </c>
      <c r="AO165" s="488">
        <f t="shared" si="157"/>
        <v>57839.681249999965</v>
      </c>
      <c r="AP165" s="488">
        <f t="shared" si="157"/>
        <v>55526.093999999954</v>
      </c>
      <c r="AQ165" s="488">
        <f t="shared" si="157"/>
        <v>53212.506749999935</v>
      </c>
      <c r="AR165" s="488">
        <f t="shared" si="157"/>
        <v>50898.919499999938</v>
      </c>
      <c r="AS165" s="488">
        <f t="shared" si="157"/>
        <v>48585.332249999956</v>
      </c>
      <c r="AT165" s="488">
        <f t="shared" si="157"/>
        <v>46271.744999999959</v>
      </c>
      <c r="AU165" s="488"/>
      <c r="AV165" s="488"/>
      <c r="AW165" s="723"/>
      <c r="AX165" s="509" t="str">
        <f>B165&amp;"-"&amp;C165&amp;"-"&amp;E165</f>
        <v>VOL-vegetables-Full till</v>
      </c>
    </row>
    <row r="166" spans="1:50" x14ac:dyDescent="0.2">
      <c r="A166" s="436"/>
      <c r="B166" s="962"/>
      <c r="C166" s="951"/>
      <c r="D166" s="467"/>
      <c r="E166" s="474" t="str">
        <f t="shared" si="145"/>
        <v>Reduced till</v>
      </c>
      <c r="F166" s="488">
        <f t="shared" ref="F166:AT166" si="158">_xlfn.XLOOKUP($AX166,$AX$24:$AX$41,$I$24:$I$41,"ERROR")*(F144*$D$143)</f>
        <v>0</v>
      </c>
      <c r="G166" s="488">
        <f t="shared" si="158"/>
        <v>2507.4415080000008</v>
      </c>
      <c r="H166" s="488">
        <f t="shared" si="158"/>
        <v>5014.8830160000016</v>
      </c>
      <c r="I166" s="488">
        <f t="shared" si="158"/>
        <v>7522.3245240000024</v>
      </c>
      <c r="J166" s="488">
        <f t="shared" si="158"/>
        <v>10029.766032000003</v>
      </c>
      <c r="K166" s="488">
        <f t="shared" si="158"/>
        <v>12537.207540000003</v>
      </c>
      <c r="L166" s="488">
        <f t="shared" si="158"/>
        <v>15044.649048000003</v>
      </c>
      <c r="M166" s="488">
        <f t="shared" si="158"/>
        <v>17552.090556000003</v>
      </c>
      <c r="N166" s="488">
        <f t="shared" si="158"/>
        <v>20059.532064000003</v>
      </c>
      <c r="O166" s="488">
        <f t="shared" si="158"/>
        <v>22566.973572000003</v>
      </c>
      <c r="P166" s="488">
        <f t="shared" si="158"/>
        <v>25074.415079999999</v>
      </c>
      <c r="Q166" s="488">
        <f t="shared" si="158"/>
        <v>27581.856587999999</v>
      </c>
      <c r="R166" s="488">
        <f t="shared" si="158"/>
        <v>30089.298096000006</v>
      </c>
      <c r="S166" s="488">
        <f t="shared" si="158"/>
        <v>32596.739604000009</v>
      </c>
      <c r="T166" s="488">
        <f t="shared" si="158"/>
        <v>35104.181112000013</v>
      </c>
      <c r="U166" s="488">
        <f t="shared" si="158"/>
        <v>37611.622620000016</v>
      </c>
      <c r="V166" s="488">
        <f t="shared" si="158"/>
        <v>40119.064128000013</v>
      </c>
      <c r="W166" s="488">
        <f t="shared" si="158"/>
        <v>42626.505636000024</v>
      </c>
      <c r="X166" s="488">
        <f t="shared" si="158"/>
        <v>45133.94714400002</v>
      </c>
      <c r="Y166" s="488">
        <f t="shared" si="158"/>
        <v>47641.388652000023</v>
      </c>
      <c r="Z166" s="488">
        <f t="shared" si="158"/>
        <v>50148.83016000002</v>
      </c>
      <c r="AA166" s="488">
        <f t="shared" si="158"/>
        <v>50148.83016000002</v>
      </c>
      <c r="AB166" s="488">
        <f t="shared" si="158"/>
        <v>50148.83016000002</v>
      </c>
      <c r="AC166" s="488">
        <f t="shared" si="158"/>
        <v>50148.83016000002</v>
      </c>
      <c r="AD166" s="488">
        <f t="shared" si="158"/>
        <v>50148.83016000002</v>
      </c>
      <c r="AE166" s="488">
        <f t="shared" si="158"/>
        <v>50148.83016000002</v>
      </c>
      <c r="AF166" s="488">
        <f t="shared" si="158"/>
        <v>50148.83016000002</v>
      </c>
      <c r="AG166" s="488">
        <f t="shared" si="158"/>
        <v>50148.83016000002</v>
      </c>
      <c r="AH166" s="488">
        <f t="shared" si="158"/>
        <v>50148.83016000002</v>
      </c>
      <c r="AI166" s="488">
        <f t="shared" si="158"/>
        <v>50148.83016000002</v>
      </c>
      <c r="AJ166" s="488">
        <f t="shared" si="158"/>
        <v>50148.83016000002</v>
      </c>
      <c r="AK166" s="488">
        <f t="shared" si="158"/>
        <v>50148.83016000002</v>
      </c>
      <c r="AL166" s="488">
        <f t="shared" si="158"/>
        <v>50148.83016000002</v>
      </c>
      <c r="AM166" s="488">
        <f t="shared" si="158"/>
        <v>50148.83016000002</v>
      </c>
      <c r="AN166" s="488">
        <f t="shared" si="158"/>
        <v>50148.83016000002</v>
      </c>
      <c r="AO166" s="488">
        <f t="shared" si="158"/>
        <v>50148.83016000002</v>
      </c>
      <c r="AP166" s="488">
        <f t="shared" si="158"/>
        <v>50148.83016000002</v>
      </c>
      <c r="AQ166" s="488">
        <f t="shared" si="158"/>
        <v>50148.83016000002</v>
      </c>
      <c r="AR166" s="488">
        <f t="shared" si="158"/>
        <v>50148.83016000002</v>
      </c>
      <c r="AS166" s="488">
        <f t="shared" si="158"/>
        <v>50148.83016000002</v>
      </c>
      <c r="AT166" s="488">
        <f t="shared" si="158"/>
        <v>50148.83016000002</v>
      </c>
      <c r="AU166" s="488"/>
      <c r="AV166" s="488"/>
      <c r="AW166" s="723"/>
      <c r="AX166" s="509" t="str">
        <f>B165&amp;"-"&amp;C165&amp;"-"&amp;E166</f>
        <v>VOL-vegetables-Reduced till</v>
      </c>
    </row>
    <row r="167" spans="1:50" x14ac:dyDescent="0.2">
      <c r="A167" s="436"/>
      <c r="B167" s="962"/>
      <c r="C167" s="951"/>
      <c r="D167" s="467"/>
      <c r="E167" s="474" t="str">
        <f t="shared" si="145"/>
        <v>No-till</v>
      </c>
      <c r="F167" s="488">
        <f t="shared" ref="F167:AT167" si="159">_xlfn.XLOOKUP($AX167,$AX$24:$AX$41,$I$24:$I$41,"ERROR")*(F145*$D$143)</f>
        <v>0</v>
      </c>
      <c r="G167" s="488">
        <f t="shared" si="159"/>
        <v>2634.0799680000009</v>
      </c>
      <c r="H167" s="488">
        <f t="shared" si="159"/>
        <v>5268.1599360000018</v>
      </c>
      <c r="I167" s="488">
        <f t="shared" si="159"/>
        <v>7902.2399040000028</v>
      </c>
      <c r="J167" s="488">
        <f t="shared" si="159"/>
        <v>10536.319872000004</v>
      </c>
      <c r="K167" s="488">
        <f t="shared" si="159"/>
        <v>13170.399840000004</v>
      </c>
      <c r="L167" s="488">
        <f t="shared" si="159"/>
        <v>15804.479808000004</v>
      </c>
      <c r="M167" s="488">
        <f t="shared" si="159"/>
        <v>18438.559776000002</v>
      </c>
      <c r="N167" s="488">
        <f t="shared" si="159"/>
        <v>21072.639744000004</v>
      </c>
      <c r="O167" s="488">
        <f t="shared" si="159"/>
        <v>23706.719712000002</v>
      </c>
      <c r="P167" s="488">
        <f t="shared" si="159"/>
        <v>26340.79968</v>
      </c>
      <c r="Q167" s="488">
        <f t="shared" si="159"/>
        <v>28974.879648000002</v>
      </c>
      <c r="R167" s="488">
        <f t="shared" si="159"/>
        <v>31608.959616000007</v>
      </c>
      <c r="S167" s="488">
        <f t="shared" si="159"/>
        <v>34243.039584000013</v>
      </c>
      <c r="T167" s="488">
        <f t="shared" si="159"/>
        <v>36877.119552000011</v>
      </c>
      <c r="U167" s="488">
        <f t="shared" si="159"/>
        <v>39511.199520000016</v>
      </c>
      <c r="V167" s="488">
        <f t="shared" si="159"/>
        <v>42145.279488000015</v>
      </c>
      <c r="W167" s="488">
        <f t="shared" si="159"/>
        <v>44779.359456000027</v>
      </c>
      <c r="X167" s="488">
        <f t="shared" si="159"/>
        <v>47413.439424000026</v>
      </c>
      <c r="Y167" s="488">
        <f t="shared" si="159"/>
        <v>50047.519392000031</v>
      </c>
      <c r="Z167" s="488">
        <f t="shared" si="159"/>
        <v>52681.599360000022</v>
      </c>
      <c r="AA167" s="488">
        <f t="shared" si="159"/>
        <v>55315.679328000027</v>
      </c>
      <c r="AB167" s="488">
        <f t="shared" si="159"/>
        <v>57949.759296000033</v>
      </c>
      <c r="AC167" s="488">
        <f t="shared" si="159"/>
        <v>60583.839264000031</v>
      </c>
      <c r="AD167" s="488">
        <f t="shared" si="159"/>
        <v>63217.919232000037</v>
      </c>
      <c r="AE167" s="488">
        <f t="shared" si="159"/>
        <v>65851.999200000035</v>
      </c>
      <c r="AF167" s="488">
        <f t="shared" si="159"/>
        <v>68486.07916800004</v>
      </c>
      <c r="AG167" s="488">
        <f t="shared" si="159"/>
        <v>71120.159136000046</v>
      </c>
      <c r="AH167" s="488">
        <f t="shared" si="159"/>
        <v>73754.239104000051</v>
      </c>
      <c r="AI167" s="488">
        <f t="shared" si="159"/>
        <v>76388.319072000057</v>
      </c>
      <c r="AJ167" s="488">
        <f t="shared" si="159"/>
        <v>79022.399040000062</v>
      </c>
      <c r="AK167" s="488">
        <f t="shared" si="159"/>
        <v>81656.479008000053</v>
      </c>
      <c r="AL167" s="488">
        <f t="shared" si="159"/>
        <v>84290.558976000058</v>
      </c>
      <c r="AM167" s="488">
        <f t="shared" si="159"/>
        <v>86924.638944000064</v>
      </c>
      <c r="AN167" s="488">
        <f t="shared" si="159"/>
        <v>89558.718912000069</v>
      </c>
      <c r="AO167" s="488">
        <f t="shared" si="159"/>
        <v>92192.79888000006</v>
      </c>
      <c r="AP167" s="488">
        <f t="shared" si="159"/>
        <v>94826.878848000066</v>
      </c>
      <c r="AQ167" s="488">
        <f t="shared" si="159"/>
        <v>97460.958816000071</v>
      </c>
      <c r="AR167" s="488">
        <f t="shared" si="159"/>
        <v>100095.03878400008</v>
      </c>
      <c r="AS167" s="488">
        <f t="shared" si="159"/>
        <v>102729.11875200008</v>
      </c>
      <c r="AT167" s="488">
        <f t="shared" si="159"/>
        <v>105363.19872000007</v>
      </c>
      <c r="AU167" s="488"/>
      <c r="AV167" s="488"/>
      <c r="AW167" s="723"/>
      <c r="AX167" s="509" t="str">
        <f>B165&amp;"-"&amp;C165&amp;"-"&amp;E167</f>
        <v>VOL-vegetables-No-till</v>
      </c>
    </row>
    <row r="168" spans="1:50" x14ac:dyDescent="0.2">
      <c r="A168" s="436"/>
      <c r="B168" s="962" t="str">
        <f t="shared" ref="B168:C168" si="160">B146</f>
        <v>VOL</v>
      </c>
      <c r="C168" s="951" t="str">
        <f t="shared" si="160"/>
        <v>cassava-beans</v>
      </c>
      <c r="D168" s="467">
        <f>D146</f>
        <v>1194.5999999999999</v>
      </c>
      <c r="E168" s="474" t="str">
        <f t="shared" si="145"/>
        <v>Full till</v>
      </c>
      <c r="F168" s="488">
        <f t="shared" ref="F168:AT168" si="161">_xlfn.XLOOKUP($AX168,$AX$24:$AX$41,$I$24:$I$41,"ERROR")*(F146*$D$146)</f>
        <v>52204.01999999999</v>
      </c>
      <c r="G168" s="488">
        <f t="shared" si="161"/>
        <v>50898.919499999989</v>
      </c>
      <c r="H168" s="488">
        <f t="shared" si="161"/>
        <v>49593.818999999989</v>
      </c>
      <c r="I168" s="488">
        <f t="shared" si="161"/>
        <v>48288.718499999988</v>
      </c>
      <c r="J168" s="488">
        <f t="shared" si="161"/>
        <v>46983.617999999988</v>
      </c>
      <c r="K168" s="488">
        <f t="shared" si="161"/>
        <v>45678.517499999987</v>
      </c>
      <c r="L168" s="488">
        <f t="shared" si="161"/>
        <v>44373.416999999987</v>
      </c>
      <c r="M168" s="488">
        <f t="shared" si="161"/>
        <v>43068.316499999986</v>
      </c>
      <c r="N168" s="488">
        <f t="shared" si="161"/>
        <v>41763.215999999993</v>
      </c>
      <c r="O168" s="488">
        <f t="shared" si="161"/>
        <v>40458.115499999993</v>
      </c>
      <c r="P168" s="488">
        <f t="shared" si="161"/>
        <v>39153.014999999992</v>
      </c>
      <c r="Q168" s="488">
        <f t="shared" si="161"/>
        <v>37847.914499999999</v>
      </c>
      <c r="R168" s="488">
        <f t="shared" si="161"/>
        <v>36542.813999999991</v>
      </c>
      <c r="S168" s="488">
        <f t="shared" si="161"/>
        <v>35237.713499999998</v>
      </c>
      <c r="T168" s="488">
        <f t="shared" si="161"/>
        <v>33932.61299999999</v>
      </c>
      <c r="U168" s="488">
        <f t="shared" si="161"/>
        <v>32627.512499999997</v>
      </c>
      <c r="V168" s="488">
        <f t="shared" si="161"/>
        <v>31322.411999999986</v>
      </c>
      <c r="W168" s="488">
        <f t="shared" si="161"/>
        <v>30017.311499999993</v>
      </c>
      <c r="X168" s="488">
        <f t="shared" si="161"/>
        <v>28712.210999999985</v>
      </c>
      <c r="Y168" s="488">
        <f t="shared" si="161"/>
        <v>27407.110499999992</v>
      </c>
      <c r="Z168" s="488">
        <f t="shared" si="161"/>
        <v>26102.009999999991</v>
      </c>
      <c r="AA168" s="488">
        <f t="shared" si="161"/>
        <v>25449.459749999984</v>
      </c>
      <c r="AB168" s="488">
        <f t="shared" si="161"/>
        <v>24796.909499999991</v>
      </c>
      <c r="AC168" s="488">
        <f t="shared" si="161"/>
        <v>24144.35924999999</v>
      </c>
      <c r="AD168" s="488">
        <f t="shared" si="161"/>
        <v>23491.80899999999</v>
      </c>
      <c r="AE168" s="488">
        <f t="shared" si="161"/>
        <v>22839.258749999986</v>
      </c>
      <c r="AF168" s="488">
        <f t="shared" si="161"/>
        <v>22186.708499999986</v>
      </c>
      <c r="AG168" s="488">
        <f t="shared" si="161"/>
        <v>21534.158249999989</v>
      </c>
      <c r="AH168" s="488">
        <f t="shared" si="161"/>
        <v>20881.607999999986</v>
      </c>
      <c r="AI168" s="488">
        <f t="shared" si="161"/>
        <v>20229.057749999982</v>
      </c>
      <c r="AJ168" s="488">
        <f t="shared" si="161"/>
        <v>19576.507499999985</v>
      </c>
      <c r="AK168" s="488">
        <f t="shared" si="161"/>
        <v>18923.957249999985</v>
      </c>
      <c r="AL168" s="488">
        <f t="shared" si="161"/>
        <v>18271.406999999985</v>
      </c>
      <c r="AM168" s="488">
        <f t="shared" si="161"/>
        <v>17618.856749999981</v>
      </c>
      <c r="AN168" s="488">
        <f t="shared" si="161"/>
        <v>16966.306499999984</v>
      </c>
      <c r="AO168" s="488">
        <f t="shared" si="161"/>
        <v>16313.756249999986</v>
      </c>
      <c r="AP168" s="488">
        <f t="shared" si="161"/>
        <v>15661.205999999984</v>
      </c>
      <c r="AQ168" s="488">
        <f t="shared" si="161"/>
        <v>15008.655749999978</v>
      </c>
      <c r="AR168" s="488">
        <f t="shared" si="161"/>
        <v>14356.105499999981</v>
      </c>
      <c r="AS168" s="488">
        <f t="shared" si="161"/>
        <v>13703.555249999983</v>
      </c>
      <c r="AT168" s="488">
        <f t="shared" si="161"/>
        <v>13051.004999999985</v>
      </c>
      <c r="AU168" s="488"/>
      <c r="AV168" s="488"/>
      <c r="AW168" s="723"/>
      <c r="AX168" s="509" t="str">
        <f>B168&amp;"-"&amp;C168&amp;"-"&amp;E168</f>
        <v>VOL-cassava-beans-Full till</v>
      </c>
    </row>
    <row r="169" spans="1:50" x14ac:dyDescent="0.2">
      <c r="A169" s="436"/>
      <c r="B169" s="962"/>
      <c r="C169" s="951"/>
      <c r="D169" s="467"/>
      <c r="E169" s="474" t="str">
        <f t="shared" si="145"/>
        <v>Reduced till</v>
      </c>
      <c r="F169" s="488">
        <f t="shared" ref="F169:AT169" si="162">_xlfn.XLOOKUP($AX169,$AX$24:$AX$41,$I$24:$I$41,"ERROR")*(F147*$D$146)</f>
        <v>0</v>
      </c>
      <c r="G169" s="488">
        <f t="shared" si="162"/>
        <v>707.22709199999997</v>
      </c>
      <c r="H169" s="488">
        <f t="shared" si="162"/>
        <v>1414.4541839999999</v>
      </c>
      <c r="I169" s="488">
        <f t="shared" si="162"/>
        <v>2121.6812760000003</v>
      </c>
      <c r="J169" s="488">
        <f t="shared" si="162"/>
        <v>2828.9083679999999</v>
      </c>
      <c r="K169" s="488">
        <f t="shared" si="162"/>
        <v>3536.13546</v>
      </c>
      <c r="L169" s="488">
        <f t="shared" si="162"/>
        <v>4243.3625519999996</v>
      </c>
      <c r="M169" s="488">
        <f t="shared" si="162"/>
        <v>4950.5896439999997</v>
      </c>
      <c r="N169" s="488">
        <f t="shared" si="162"/>
        <v>5657.8167359999998</v>
      </c>
      <c r="O169" s="488">
        <f t="shared" si="162"/>
        <v>6365.0438279999998</v>
      </c>
      <c r="P169" s="488">
        <f t="shared" si="162"/>
        <v>7072.2709199999981</v>
      </c>
      <c r="Q169" s="488">
        <f t="shared" si="162"/>
        <v>7779.4980119999991</v>
      </c>
      <c r="R169" s="488">
        <f t="shared" si="162"/>
        <v>8486.7251039999992</v>
      </c>
      <c r="S169" s="488">
        <f t="shared" si="162"/>
        <v>9193.9521960000002</v>
      </c>
      <c r="T169" s="488">
        <f t="shared" si="162"/>
        <v>9901.1792880000012</v>
      </c>
      <c r="U169" s="488">
        <f t="shared" si="162"/>
        <v>10608.40638</v>
      </c>
      <c r="V169" s="488">
        <f t="shared" si="162"/>
        <v>11315.633472000001</v>
      </c>
      <c r="W169" s="488">
        <f t="shared" si="162"/>
        <v>12022.860564000002</v>
      </c>
      <c r="X169" s="488">
        <f t="shared" si="162"/>
        <v>12730.087656000002</v>
      </c>
      <c r="Y169" s="488">
        <f t="shared" si="162"/>
        <v>13437.314748000004</v>
      </c>
      <c r="Z169" s="488">
        <f t="shared" si="162"/>
        <v>14144.541840000002</v>
      </c>
      <c r="AA169" s="488">
        <f t="shared" si="162"/>
        <v>14144.541840000002</v>
      </c>
      <c r="AB169" s="488">
        <f t="shared" si="162"/>
        <v>14144.541840000002</v>
      </c>
      <c r="AC169" s="488">
        <f t="shared" si="162"/>
        <v>14144.541840000002</v>
      </c>
      <c r="AD169" s="488">
        <f t="shared" si="162"/>
        <v>14144.541840000002</v>
      </c>
      <c r="AE169" s="488">
        <f t="shared" si="162"/>
        <v>14144.541840000002</v>
      </c>
      <c r="AF169" s="488">
        <f t="shared" si="162"/>
        <v>14144.541840000002</v>
      </c>
      <c r="AG169" s="488">
        <f t="shared" si="162"/>
        <v>14144.541840000002</v>
      </c>
      <c r="AH169" s="488">
        <f t="shared" si="162"/>
        <v>14144.541840000002</v>
      </c>
      <c r="AI169" s="488">
        <f t="shared" si="162"/>
        <v>14144.541840000002</v>
      </c>
      <c r="AJ169" s="488">
        <f t="shared" si="162"/>
        <v>14144.541840000002</v>
      </c>
      <c r="AK169" s="488">
        <f t="shared" si="162"/>
        <v>14144.541840000002</v>
      </c>
      <c r="AL169" s="488">
        <f t="shared" si="162"/>
        <v>14144.541840000002</v>
      </c>
      <c r="AM169" s="488">
        <f t="shared" si="162"/>
        <v>14144.541840000002</v>
      </c>
      <c r="AN169" s="488">
        <f t="shared" si="162"/>
        <v>14144.541840000002</v>
      </c>
      <c r="AO169" s="488">
        <f t="shared" si="162"/>
        <v>14144.541840000002</v>
      </c>
      <c r="AP169" s="488">
        <f t="shared" si="162"/>
        <v>14144.541840000002</v>
      </c>
      <c r="AQ169" s="488">
        <f t="shared" si="162"/>
        <v>14144.541840000002</v>
      </c>
      <c r="AR169" s="488">
        <f t="shared" si="162"/>
        <v>14144.541840000002</v>
      </c>
      <c r="AS169" s="488">
        <f t="shared" si="162"/>
        <v>14144.541840000002</v>
      </c>
      <c r="AT169" s="488">
        <f t="shared" si="162"/>
        <v>14144.541840000002</v>
      </c>
      <c r="AU169" s="488"/>
      <c r="AV169" s="488"/>
      <c r="AW169" s="723"/>
      <c r="AX169" s="509" t="str">
        <f>B168&amp;"-"&amp;C168&amp;"-"&amp;E169</f>
        <v>VOL-cassava-beans-Reduced till</v>
      </c>
    </row>
    <row r="170" spans="1:50" x14ac:dyDescent="0.2">
      <c r="A170" s="436"/>
      <c r="B170" s="962"/>
      <c r="C170" s="951"/>
      <c r="D170" s="467"/>
      <c r="E170" s="474" t="str">
        <f t="shared" si="145"/>
        <v>No-till</v>
      </c>
      <c r="F170" s="488">
        <f t="shared" ref="F170:AT170" si="163">_xlfn.XLOOKUP($AX170,$AX$24:$AX$41,$I$24:$I$41,"ERROR")*(F148*$D$146)</f>
        <v>0</v>
      </c>
      <c r="G170" s="488">
        <f t="shared" si="163"/>
        <v>742.94563200000005</v>
      </c>
      <c r="H170" s="488">
        <f t="shared" si="163"/>
        <v>1485.8912640000001</v>
      </c>
      <c r="I170" s="488">
        <f t="shared" si="163"/>
        <v>2228.8368960000007</v>
      </c>
      <c r="J170" s="488">
        <f t="shared" si="163"/>
        <v>2971.7825280000002</v>
      </c>
      <c r="K170" s="488">
        <f t="shared" si="163"/>
        <v>3714.7281600000001</v>
      </c>
      <c r="L170" s="488">
        <f t="shared" si="163"/>
        <v>4457.6737919999996</v>
      </c>
      <c r="M170" s="488">
        <f t="shared" si="163"/>
        <v>5200.6194240000004</v>
      </c>
      <c r="N170" s="488">
        <f t="shared" si="163"/>
        <v>5943.5650559999995</v>
      </c>
      <c r="O170" s="488">
        <f t="shared" si="163"/>
        <v>6686.5106880000003</v>
      </c>
      <c r="P170" s="488">
        <f t="shared" si="163"/>
        <v>7429.4563199999993</v>
      </c>
      <c r="Q170" s="488">
        <f t="shared" si="163"/>
        <v>8172.4019519999993</v>
      </c>
      <c r="R170" s="488">
        <f t="shared" si="163"/>
        <v>8915.3475839999992</v>
      </c>
      <c r="S170" s="488">
        <f t="shared" si="163"/>
        <v>9658.2932160000018</v>
      </c>
      <c r="T170" s="488">
        <f t="shared" si="163"/>
        <v>10401.238848000001</v>
      </c>
      <c r="U170" s="488">
        <f t="shared" si="163"/>
        <v>11144.184480000002</v>
      </c>
      <c r="V170" s="488">
        <f t="shared" si="163"/>
        <v>11887.130112000003</v>
      </c>
      <c r="W170" s="488">
        <f t="shared" si="163"/>
        <v>12630.075744000003</v>
      </c>
      <c r="X170" s="488">
        <f t="shared" si="163"/>
        <v>13373.021376000002</v>
      </c>
      <c r="Y170" s="488">
        <f t="shared" si="163"/>
        <v>14115.967008000005</v>
      </c>
      <c r="Z170" s="488">
        <f t="shared" si="163"/>
        <v>14858.912640000004</v>
      </c>
      <c r="AA170" s="488">
        <f t="shared" si="163"/>
        <v>15601.858272000003</v>
      </c>
      <c r="AB170" s="488">
        <f t="shared" si="163"/>
        <v>16344.803904000004</v>
      </c>
      <c r="AC170" s="488">
        <f t="shared" si="163"/>
        <v>17087.749536000007</v>
      </c>
      <c r="AD170" s="488">
        <f t="shared" si="163"/>
        <v>17830.695168000009</v>
      </c>
      <c r="AE170" s="488">
        <f t="shared" si="163"/>
        <v>18573.640800000008</v>
      </c>
      <c r="AF170" s="488">
        <f t="shared" si="163"/>
        <v>19316.586432000007</v>
      </c>
      <c r="AG170" s="488">
        <f t="shared" si="163"/>
        <v>20059.53206400001</v>
      </c>
      <c r="AH170" s="488">
        <f t="shared" si="163"/>
        <v>20802.477696000009</v>
      </c>
      <c r="AI170" s="488">
        <f t="shared" si="163"/>
        <v>21545.423328000008</v>
      </c>
      <c r="AJ170" s="488">
        <f t="shared" si="163"/>
        <v>22288.368960000011</v>
      </c>
      <c r="AK170" s="488">
        <f t="shared" si="163"/>
        <v>23031.314592000013</v>
      </c>
      <c r="AL170" s="488">
        <f t="shared" si="163"/>
        <v>23774.260224000012</v>
      </c>
      <c r="AM170" s="488">
        <f t="shared" si="163"/>
        <v>24517.205856000011</v>
      </c>
      <c r="AN170" s="488">
        <f t="shared" si="163"/>
        <v>25260.151488000014</v>
      </c>
      <c r="AO170" s="488">
        <f t="shared" si="163"/>
        <v>26003.097120000017</v>
      </c>
      <c r="AP170" s="488">
        <f t="shared" si="163"/>
        <v>26746.042752000016</v>
      </c>
      <c r="AQ170" s="488">
        <f t="shared" si="163"/>
        <v>27488.988384000018</v>
      </c>
      <c r="AR170" s="488">
        <f t="shared" si="163"/>
        <v>28231.934016000017</v>
      </c>
      <c r="AS170" s="488">
        <f t="shared" si="163"/>
        <v>28974.879648000016</v>
      </c>
      <c r="AT170" s="488">
        <f t="shared" si="163"/>
        <v>29717.825280000012</v>
      </c>
      <c r="AU170" s="488"/>
      <c r="AV170" s="488"/>
      <c r="AW170" s="723"/>
      <c r="AX170" s="509" t="str">
        <f>B168&amp;"-"&amp;C168&amp;"-"&amp;E170</f>
        <v>VOL-cassava-beans-No-till</v>
      </c>
    </row>
    <row r="171" spans="1:50" x14ac:dyDescent="0.2">
      <c r="A171" s="436"/>
      <c r="B171" s="962" t="str">
        <f t="shared" ref="B171:C171" si="164">B149</f>
        <v>LAC</v>
      </c>
      <c r="C171" s="951" t="str">
        <f t="shared" si="164"/>
        <v>wheat</v>
      </c>
      <c r="D171" s="467">
        <f>D149</f>
        <v>2309</v>
      </c>
      <c r="E171" s="474" t="str">
        <f t="shared" si="145"/>
        <v>Full till</v>
      </c>
      <c r="F171" s="488">
        <f t="shared" ref="F171:AT171" si="165">_xlfn.XLOOKUP($AX171,$AX$24:$AX$41,$I$24:$I$41,"ERROR")*(F149*$D$149)</f>
        <v>38343.253999999994</v>
      </c>
      <c r="G171" s="488">
        <f t="shared" si="165"/>
        <v>37384.67265</v>
      </c>
      <c r="H171" s="488">
        <f t="shared" si="165"/>
        <v>36426.091299999993</v>
      </c>
      <c r="I171" s="488">
        <f t="shared" si="165"/>
        <v>35467.50995</v>
      </c>
      <c r="J171" s="488">
        <f t="shared" si="165"/>
        <v>34508.928599999992</v>
      </c>
      <c r="K171" s="488">
        <f t="shared" si="165"/>
        <v>33550.347249999999</v>
      </c>
      <c r="L171" s="488">
        <f t="shared" si="165"/>
        <v>32591.765899999995</v>
      </c>
      <c r="M171" s="488">
        <f t="shared" si="165"/>
        <v>31633.184549999994</v>
      </c>
      <c r="N171" s="488">
        <f t="shared" si="165"/>
        <v>30674.603199999998</v>
      </c>
      <c r="O171" s="488">
        <f t="shared" si="165"/>
        <v>29716.021849999997</v>
      </c>
      <c r="P171" s="488">
        <f t="shared" si="165"/>
        <v>28757.440499999997</v>
      </c>
      <c r="Q171" s="488">
        <f t="shared" si="165"/>
        <v>27798.859150000004</v>
      </c>
      <c r="R171" s="488">
        <f t="shared" si="165"/>
        <v>26840.277799999996</v>
      </c>
      <c r="S171" s="488">
        <f t="shared" si="165"/>
        <v>25881.696449999999</v>
      </c>
      <c r="T171" s="488">
        <f t="shared" si="165"/>
        <v>24923.115099999992</v>
      </c>
      <c r="U171" s="488">
        <f t="shared" si="165"/>
        <v>23964.533749999999</v>
      </c>
      <c r="V171" s="488">
        <f t="shared" si="165"/>
        <v>23005.952399999991</v>
      </c>
      <c r="W171" s="488">
        <f t="shared" si="165"/>
        <v>22047.371049999998</v>
      </c>
      <c r="X171" s="488">
        <f t="shared" si="165"/>
        <v>21088.78969999999</v>
      </c>
      <c r="Y171" s="488">
        <f t="shared" si="165"/>
        <v>20130.208349999994</v>
      </c>
      <c r="Z171" s="488">
        <f t="shared" si="165"/>
        <v>19171.626999999993</v>
      </c>
      <c r="AA171" s="488">
        <f t="shared" si="165"/>
        <v>18692.336324999989</v>
      </c>
      <c r="AB171" s="488">
        <f t="shared" si="165"/>
        <v>18213.045649999993</v>
      </c>
      <c r="AC171" s="488">
        <f t="shared" si="165"/>
        <v>17733.754974999993</v>
      </c>
      <c r="AD171" s="488">
        <f t="shared" si="165"/>
        <v>17254.464299999992</v>
      </c>
      <c r="AE171" s="488">
        <f t="shared" si="165"/>
        <v>16775.173624999989</v>
      </c>
      <c r="AF171" s="488">
        <f t="shared" si="165"/>
        <v>16295.882949999992</v>
      </c>
      <c r="AG171" s="488">
        <f t="shared" si="165"/>
        <v>15816.592274999992</v>
      </c>
      <c r="AH171" s="488">
        <f t="shared" si="165"/>
        <v>15337.301599999992</v>
      </c>
      <c r="AI171" s="488">
        <f t="shared" si="165"/>
        <v>14858.010924999988</v>
      </c>
      <c r="AJ171" s="488">
        <f t="shared" si="165"/>
        <v>14378.720249999989</v>
      </c>
      <c r="AK171" s="488">
        <f t="shared" si="165"/>
        <v>13899.429574999991</v>
      </c>
      <c r="AL171" s="488">
        <f t="shared" si="165"/>
        <v>13420.138899999989</v>
      </c>
      <c r="AM171" s="488">
        <f t="shared" si="165"/>
        <v>12940.848224999985</v>
      </c>
      <c r="AN171" s="488">
        <f t="shared" si="165"/>
        <v>12461.557549999989</v>
      </c>
      <c r="AO171" s="488">
        <f t="shared" si="165"/>
        <v>11982.266874999988</v>
      </c>
      <c r="AP171" s="488">
        <f t="shared" si="165"/>
        <v>11502.976199999988</v>
      </c>
      <c r="AQ171" s="488">
        <f t="shared" si="165"/>
        <v>11023.685524999984</v>
      </c>
      <c r="AR171" s="488">
        <f t="shared" si="165"/>
        <v>10544.394849999986</v>
      </c>
      <c r="AS171" s="488">
        <f t="shared" si="165"/>
        <v>10065.104174999989</v>
      </c>
      <c r="AT171" s="488">
        <f t="shared" si="165"/>
        <v>9585.8134999999893</v>
      </c>
      <c r="AU171" s="488"/>
      <c r="AV171" s="488"/>
      <c r="AW171" s="723"/>
      <c r="AX171" s="509" t="str">
        <f>B171&amp;"-"&amp;C171&amp;"-"&amp;E171</f>
        <v>LAC-wheat-Full till</v>
      </c>
    </row>
    <row r="172" spans="1:50" x14ac:dyDescent="0.2">
      <c r="A172" s="436"/>
      <c r="B172" s="962"/>
      <c r="C172" s="951"/>
      <c r="D172" s="467"/>
      <c r="E172" s="474" t="str">
        <f t="shared" si="145"/>
        <v>Reduced till</v>
      </c>
      <c r="F172" s="488">
        <f t="shared" ref="F172:AT172" si="166">_xlfn.XLOOKUP($AX172,$AX$24:$AX$41,$I$24:$I$41,"ERROR")*(F150*$D$149)</f>
        <v>0</v>
      </c>
      <c r="G172" s="488">
        <f t="shared" si="166"/>
        <v>519.4501884</v>
      </c>
      <c r="H172" s="488">
        <f t="shared" si="166"/>
        <v>1038.9003768</v>
      </c>
      <c r="I172" s="488">
        <f t="shared" si="166"/>
        <v>1558.3505652000003</v>
      </c>
      <c r="J172" s="488">
        <f t="shared" si="166"/>
        <v>2077.8007536</v>
      </c>
      <c r="K172" s="488">
        <f t="shared" si="166"/>
        <v>2597.2509420000001</v>
      </c>
      <c r="L172" s="488">
        <f t="shared" si="166"/>
        <v>3116.7011303999998</v>
      </c>
      <c r="M172" s="488">
        <f t="shared" si="166"/>
        <v>3636.1513187999999</v>
      </c>
      <c r="N172" s="488">
        <f t="shared" si="166"/>
        <v>4155.6015072</v>
      </c>
      <c r="O172" s="488">
        <f t="shared" si="166"/>
        <v>4675.0516956000001</v>
      </c>
      <c r="P172" s="488">
        <f t="shared" si="166"/>
        <v>5194.5018839999993</v>
      </c>
      <c r="Q172" s="488">
        <f t="shared" si="166"/>
        <v>5713.9520723999995</v>
      </c>
      <c r="R172" s="488">
        <f t="shared" si="166"/>
        <v>6233.4022607999996</v>
      </c>
      <c r="S172" s="488">
        <f t="shared" si="166"/>
        <v>6752.8524492000006</v>
      </c>
      <c r="T172" s="488">
        <f t="shared" si="166"/>
        <v>7272.3026376000007</v>
      </c>
      <c r="U172" s="488">
        <f t="shared" si="166"/>
        <v>7791.7528260000008</v>
      </c>
      <c r="V172" s="488">
        <f t="shared" si="166"/>
        <v>8311.2030144000018</v>
      </c>
      <c r="W172" s="488">
        <f t="shared" si="166"/>
        <v>8830.653202800002</v>
      </c>
      <c r="X172" s="488">
        <f t="shared" si="166"/>
        <v>9350.1033912000021</v>
      </c>
      <c r="Y172" s="488">
        <f t="shared" si="166"/>
        <v>9869.5535796000022</v>
      </c>
      <c r="Z172" s="488">
        <f t="shared" si="166"/>
        <v>10389.003768000002</v>
      </c>
      <c r="AA172" s="488">
        <f t="shared" si="166"/>
        <v>10389.003768000002</v>
      </c>
      <c r="AB172" s="488">
        <f t="shared" si="166"/>
        <v>10389.003768000002</v>
      </c>
      <c r="AC172" s="488">
        <f t="shared" si="166"/>
        <v>10389.003768000002</v>
      </c>
      <c r="AD172" s="488">
        <f t="shared" si="166"/>
        <v>10389.003768000002</v>
      </c>
      <c r="AE172" s="488">
        <f t="shared" si="166"/>
        <v>10389.003768000002</v>
      </c>
      <c r="AF172" s="488">
        <f t="shared" si="166"/>
        <v>10389.003768000002</v>
      </c>
      <c r="AG172" s="488">
        <f t="shared" si="166"/>
        <v>10389.003768000002</v>
      </c>
      <c r="AH172" s="488">
        <f t="shared" si="166"/>
        <v>10389.003768000002</v>
      </c>
      <c r="AI172" s="488">
        <f t="shared" si="166"/>
        <v>10389.003768000002</v>
      </c>
      <c r="AJ172" s="488">
        <f t="shared" si="166"/>
        <v>10389.003768000002</v>
      </c>
      <c r="AK172" s="488">
        <f t="shared" si="166"/>
        <v>10389.003768000002</v>
      </c>
      <c r="AL172" s="488">
        <f t="shared" si="166"/>
        <v>10389.003768000002</v>
      </c>
      <c r="AM172" s="488">
        <f t="shared" si="166"/>
        <v>10389.003768000002</v>
      </c>
      <c r="AN172" s="488">
        <f t="shared" si="166"/>
        <v>10389.003768000002</v>
      </c>
      <c r="AO172" s="488">
        <f t="shared" si="166"/>
        <v>10389.003768000002</v>
      </c>
      <c r="AP172" s="488">
        <f t="shared" si="166"/>
        <v>10389.003768000002</v>
      </c>
      <c r="AQ172" s="488">
        <f t="shared" si="166"/>
        <v>10389.003768000002</v>
      </c>
      <c r="AR172" s="488">
        <f t="shared" si="166"/>
        <v>10389.003768000002</v>
      </c>
      <c r="AS172" s="488">
        <f t="shared" si="166"/>
        <v>10389.003768000002</v>
      </c>
      <c r="AT172" s="488">
        <f t="shared" si="166"/>
        <v>10389.003768000002</v>
      </c>
      <c r="AU172" s="488"/>
      <c r="AV172" s="488"/>
      <c r="AW172" s="723"/>
      <c r="AX172" s="509" t="str">
        <f>B171&amp;"-"&amp;C171&amp;"-"&amp;E172</f>
        <v>LAC-wheat-Reduced till</v>
      </c>
    </row>
    <row r="173" spans="1:50" x14ac:dyDescent="0.2">
      <c r="A173" s="436"/>
      <c r="B173" s="962"/>
      <c r="C173" s="951"/>
      <c r="D173" s="467"/>
      <c r="E173" s="474" t="str">
        <f t="shared" si="145"/>
        <v>No-till</v>
      </c>
      <c r="F173" s="488">
        <f t="shared" ref="F173:AT173" si="167">_xlfn.XLOOKUP($AX173,$AX$24:$AX$41,$I$24:$I$41,"ERROR")*(F151*$D$149)</f>
        <v>0</v>
      </c>
      <c r="G173" s="488">
        <f t="shared" si="167"/>
        <v>545.68504640000015</v>
      </c>
      <c r="H173" s="488">
        <f t="shared" si="167"/>
        <v>1091.3700928000003</v>
      </c>
      <c r="I173" s="488">
        <f t="shared" si="167"/>
        <v>1637.0551392000007</v>
      </c>
      <c r="J173" s="488">
        <f t="shared" si="167"/>
        <v>2182.7401856000006</v>
      </c>
      <c r="K173" s="488">
        <f t="shared" si="167"/>
        <v>2728.4252320000005</v>
      </c>
      <c r="L173" s="488">
        <f t="shared" si="167"/>
        <v>3274.1102784000004</v>
      </c>
      <c r="M173" s="488">
        <f t="shared" si="167"/>
        <v>3819.7953248000008</v>
      </c>
      <c r="N173" s="488">
        <f t="shared" si="167"/>
        <v>4365.4803712000003</v>
      </c>
      <c r="O173" s="488">
        <f t="shared" si="167"/>
        <v>4911.1654176000011</v>
      </c>
      <c r="P173" s="488">
        <f t="shared" si="167"/>
        <v>5456.8504640000001</v>
      </c>
      <c r="Q173" s="488">
        <f t="shared" si="167"/>
        <v>6002.5355104</v>
      </c>
      <c r="R173" s="488">
        <f t="shared" si="167"/>
        <v>6548.2205568000008</v>
      </c>
      <c r="S173" s="488">
        <f t="shared" si="167"/>
        <v>7093.9056032000026</v>
      </c>
      <c r="T173" s="488">
        <f t="shared" si="167"/>
        <v>7639.5906496000025</v>
      </c>
      <c r="U173" s="488">
        <f t="shared" si="167"/>
        <v>8185.2756960000024</v>
      </c>
      <c r="V173" s="488">
        <f t="shared" si="167"/>
        <v>8730.9607424000023</v>
      </c>
      <c r="W173" s="488">
        <f t="shared" si="167"/>
        <v>9276.6457888000041</v>
      </c>
      <c r="X173" s="488">
        <f t="shared" si="167"/>
        <v>9822.330835200004</v>
      </c>
      <c r="Y173" s="488">
        <f t="shared" si="167"/>
        <v>10368.015881600006</v>
      </c>
      <c r="Z173" s="488">
        <f t="shared" si="167"/>
        <v>10913.700928000004</v>
      </c>
      <c r="AA173" s="488">
        <f t="shared" si="167"/>
        <v>11459.385974400006</v>
      </c>
      <c r="AB173" s="488">
        <f t="shared" si="167"/>
        <v>12005.071020800005</v>
      </c>
      <c r="AC173" s="488">
        <f t="shared" si="167"/>
        <v>12550.756067200007</v>
      </c>
      <c r="AD173" s="488">
        <f t="shared" si="167"/>
        <v>13096.441113600007</v>
      </c>
      <c r="AE173" s="488">
        <f t="shared" si="167"/>
        <v>13642.126160000007</v>
      </c>
      <c r="AF173" s="488">
        <f t="shared" si="167"/>
        <v>14187.811206400009</v>
      </c>
      <c r="AG173" s="488">
        <f t="shared" si="167"/>
        <v>14733.496252800011</v>
      </c>
      <c r="AH173" s="488">
        <f t="shared" si="167"/>
        <v>15279.181299200009</v>
      </c>
      <c r="AI173" s="488">
        <f t="shared" si="167"/>
        <v>15824.86634560001</v>
      </c>
      <c r="AJ173" s="488">
        <f t="shared" si="167"/>
        <v>16370.55139200001</v>
      </c>
      <c r="AK173" s="488">
        <f t="shared" si="167"/>
        <v>16916.23643840001</v>
      </c>
      <c r="AL173" s="488">
        <f t="shared" si="167"/>
        <v>17461.921484800012</v>
      </c>
      <c r="AM173" s="488">
        <f t="shared" si="167"/>
        <v>18007.606531200014</v>
      </c>
      <c r="AN173" s="488">
        <f t="shared" si="167"/>
        <v>18553.291577600012</v>
      </c>
      <c r="AO173" s="488">
        <f t="shared" si="167"/>
        <v>19098.976624000014</v>
      </c>
      <c r="AP173" s="488">
        <f t="shared" si="167"/>
        <v>19644.661670400015</v>
      </c>
      <c r="AQ173" s="488">
        <f t="shared" si="167"/>
        <v>20190.346716800017</v>
      </c>
      <c r="AR173" s="488">
        <f t="shared" si="167"/>
        <v>20736.031763200015</v>
      </c>
      <c r="AS173" s="488">
        <f t="shared" si="167"/>
        <v>21281.716809600017</v>
      </c>
      <c r="AT173" s="488">
        <f t="shared" si="167"/>
        <v>21827.401856000015</v>
      </c>
      <c r="AU173" s="488"/>
      <c r="AV173" s="488"/>
      <c r="AW173" s="723"/>
      <c r="AX173" s="509" t="str">
        <f>B171&amp;"-"&amp;C171&amp;"-"&amp;E173</f>
        <v>LAC-wheat-No-till</v>
      </c>
    </row>
    <row r="174" spans="1:50" ht="17" thickBot="1" x14ac:dyDescent="0.25">
      <c r="A174" s="436"/>
      <c r="B174" s="718"/>
      <c r="C174" s="719"/>
      <c r="D174" s="719"/>
      <c r="E174" s="784" t="s">
        <v>420</v>
      </c>
      <c r="F174" s="785">
        <f>SUM(F156:F173)</f>
        <v>1202639.7319999998</v>
      </c>
      <c r="G174" s="785">
        <f>SUM(G156:G173)</f>
        <v>1207110.0092169358</v>
      </c>
      <c r="H174" s="785">
        <f t="shared" ref="H174:AT174" si="168">SUM(H156:H173)</f>
        <v>1211580.2864338709</v>
      </c>
      <c r="I174" s="785">
        <f t="shared" si="168"/>
        <v>1216050.5636508069</v>
      </c>
      <c r="J174" s="785">
        <f t="shared" si="168"/>
        <v>1220520.8408677424</v>
      </c>
      <c r="K174" s="785">
        <f t="shared" si="168"/>
        <v>1224991.1180846782</v>
      </c>
      <c r="L174" s="785">
        <f t="shared" si="168"/>
        <v>1229461.3953016133</v>
      </c>
      <c r="M174" s="785">
        <f t="shared" si="168"/>
        <v>1233931.6725185488</v>
      </c>
      <c r="N174" s="785">
        <f t="shared" si="168"/>
        <v>1238401.9497354843</v>
      </c>
      <c r="O174" s="785">
        <f t="shared" si="168"/>
        <v>1242872.2269524203</v>
      </c>
      <c r="P174" s="785">
        <f t="shared" si="168"/>
        <v>1247342.5041693556</v>
      </c>
      <c r="Q174" s="785">
        <f t="shared" si="168"/>
        <v>1251812.7813862916</v>
      </c>
      <c r="R174" s="785">
        <f t="shared" si="168"/>
        <v>1256283.0586032271</v>
      </c>
      <c r="S174" s="785">
        <f t="shared" si="168"/>
        <v>1260753.3358201631</v>
      </c>
      <c r="T174" s="785">
        <f t="shared" si="168"/>
        <v>1265223.6130370984</v>
      </c>
      <c r="U174" s="785">
        <f t="shared" si="168"/>
        <v>1269693.8902540342</v>
      </c>
      <c r="V174" s="785">
        <f t="shared" si="168"/>
        <v>1274164.16747097</v>
      </c>
      <c r="W174" s="785">
        <f t="shared" si="168"/>
        <v>1278634.4446879053</v>
      </c>
      <c r="X174" s="785">
        <f t="shared" si="168"/>
        <v>1283104.7219048406</v>
      </c>
      <c r="Y174" s="785">
        <f t="shared" si="168"/>
        <v>1287574.9991217768</v>
      </c>
      <c r="Z174" s="785">
        <f t="shared" si="168"/>
        <v>1292045.2763387125</v>
      </c>
      <c r="AA174" s="785">
        <f t="shared" si="168"/>
        <v>1292999.5372813765</v>
      </c>
      <c r="AB174" s="785">
        <f t="shared" si="168"/>
        <v>1293953.798224041</v>
      </c>
      <c r="AC174" s="785">
        <f t="shared" si="168"/>
        <v>1294908.0591667057</v>
      </c>
      <c r="AD174" s="785">
        <f t="shared" si="168"/>
        <v>1295862.3201093699</v>
      </c>
      <c r="AE174" s="785">
        <f t="shared" si="168"/>
        <v>1296816.5810520342</v>
      </c>
      <c r="AF174" s="785">
        <f t="shared" si="168"/>
        <v>1297770.8419946984</v>
      </c>
      <c r="AG174" s="785">
        <f t="shared" si="168"/>
        <v>1298725.1029373631</v>
      </c>
      <c r="AH174" s="785">
        <f t="shared" si="168"/>
        <v>1299679.3638800276</v>
      </c>
      <c r="AI174" s="785">
        <f t="shared" si="168"/>
        <v>1300633.624822692</v>
      </c>
      <c r="AJ174" s="785">
        <f t="shared" si="168"/>
        <v>1301587.8857653565</v>
      </c>
      <c r="AK174" s="785">
        <f t="shared" si="168"/>
        <v>1302542.1467080209</v>
      </c>
      <c r="AL174" s="785">
        <f t="shared" si="168"/>
        <v>1303496.4076506847</v>
      </c>
      <c r="AM174" s="785">
        <f t="shared" si="168"/>
        <v>1304450.6685933494</v>
      </c>
      <c r="AN174" s="785">
        <f t="shared" si="168"/>
        <v>1305404.9295360139</v>
      </c>
      <c r="AO174" s="785">
        <f t="shared" si="168"/>
        <v>1306359.1904786786</v>
      </c>
      <c r="AP174" s="785">
        <f t="shared" si="168"/>
        <v>1307313.4514213426</v>
      </c>
      <c r="AQ174" s="785">
        <f t="shared" si="168"/>
        <v>1308267.712364007</v>
      </c>
      <c r="AR174" s="785">
        <f t="shared" si="168"/>
        <v>1309221.9733066715</v>
      </c>
      <c r="AS174" s="785">
        <f t="shared" si="168"/>
        <v>1310176.2342493359</v>
      </c>
      <c r="AT174" s="785">
        <f t="shared" si="168"/>
        <v>1311130.4951920002</v>
      </c>
      <c r="AU174" s="720"/>
      <c r="AV174" s="720"/>
      <c r="AW174" s="727"/>
      <c r="AX174" s="510"/>
    </row>
    <row r="175" spans="1:50" ht="17" thickBot="1" x14ac:dyDescent="0.25">
      <c r="A175" s="436"/>
      <c r="AA175" s="492">
        <f>AA174-Z174</f>
        <v>954.26094266399741</v>
      </c>
    </row>
    <row r="176" spans="1:50" x14ac:dyDescent="0.2">
      <c r="A176" s="779"/>
      <c r="B176" s="722" t="s">
        <v>421</v>
      </c>
      <c r="C176" s="722"/>
      <c r="D176" s="722"/>
      <c r="E176" s="722"/>
      <c r="F176" s="722"/>
      <c r="G176" s="701"/>
      <c r="H176" s="701"/>
      <c r="I176" s="701"/>
      <c r="J176" s="701"/>
      <c r="K176" s="701"/>
      <c r="L176" s="701"/>
      <c r="M176" s="701"/>
      <c r="N176" s="701"/>
      <c r="O176" s="701"/>
      <c r="P176" s="701"/>
      <c r="Q176" s="701"/>
      <c r="R176" s="701"/>
      <c r="S176" s="701"/>
      <c r="T176" s="701"/>
      <c r="U176" s="701"/>
      <c r="V176" s="701"/>
      <c r="W176" s="701"/>
      <c r="X176" s="701"/>
      <c r="Y176" s="701"/>
      <c r="Z176" s="701"/>
      <c r="AA176" s="701"/>
      <c r="AB176" s="701"/>
      <c r="AC176" s="701"/>
      <c r="AD176" s="701"/>
      <c r="AE176" s="701"/>
      <c r="AF176" s="701"/>
      <c r="AG176" s="701"/>
      <c r="AH176" s="701"/>
      <c r="AI176" s="701"/>
      <c r="AJ176" s="701"/>
      <c r="AK176" s="701"/>
      <c r="AL176" s="701"/>
      <c r="AM176" s="701"/>
      <c r="AN176" s="701"/>
      <c r="AO176" s="701"/>
      <c r="AP176" s="701"/>
      <c r="AQ176" s="701"/>
      <c r="AR176" s="701"/>
      <c r="AS176" s="701"/>
      <c r="AT176" s="701"/>
      <c r="AU176" s="701"/>
      <c r="AV176" s="701"/>
      <c r="AW176" s="702"/>
    </row>
    <row r="177" spans="1:50" ht="15.75" customHeight="1" x14ac:dyDescent="0.2">
      <c r="A177" s="436"/>
      <c r="B177" s="726"/>
      <c r="C177" s="436"/>
      <c r="D177" s="436"/>
      <c r="E177" s="436"/>
      <c r="F177" s="475" t="s">
        <v>383</v>
      </c>
      <c r="G177" s="475" t="s">
        <v>384</v>
      </c>
      <c r="H177" s="475" t="s">
        <v>385</v>
      </c>
      <c r="I177" s="475" t="s">
        <v>386</v>
      </c>
      <c r="J177" s="475" t="s">
        <v>387</v>
      </c>
      <c r="K177" s="475" t="s">
        <v>388</v>
      </c>
      <c r="L177" s="475" t="s">
        <v>389</v>
      </c>
      <c r="M177" s="475" t="s">
        <v>390</v>
      </c>
      <c r="N177" s="475" t="s">
        <v>391</v>
      </c>
      <c r="O177" s="475" t="s">
        <v>392</v>
      </c>
      <c r="P177" s="475" t="s">
        <v>393</v>
      </c>
      <c r="Q177" s="475" t="s">
        <v>394</v>
      </c>
      <c r="R177" s="475" t="s">
        <v>395</v>
      </c>
      <c r="S177" s="475" t="s">
        <v>396</v>
      </c>
      <c r="T177" s="475" t="s">
        <v>397</v>
      </c>
      <c r="U177" s="475" t="s">
        <v>398</v>
      </c>
      <c r="V177" s="475" t="s">
        <v>399</v>
      </c>
      <c r="W177" s="475" t="s">
        <v>400</v>
      </c>
      <c r="X177" s="475" t="s">
        <v>401</v>
      </c>
      <c r="Y177" s="475" t="s">
        <v>402</v>
      </c>
      <c r="Z177" s="475" t="s">
        <v>120</v>
      </c>
      <c r="AA177" s="475" t="s">
        <v>146</v>
      </c>
      <c r="AB177" s="475" t="s">
        <v>147</v>
      </c>
      <c r="AC177" s="475" t="s">
        <v>148</v>
      </c>
      <c r="AD177" s="475" t="s">
        <v>149</v>
      </c>
      <c r="AE177" s="475" t="s">
        <v>150</v>
      </c>
      <c r="AF177" s="475" t="s">
        <v>151</v>
      </c>
      <c r="AG177" s="475" t="s">
        <v>152</v>
      </c>
      <c r="AH177" s="475" t="s">
        <v>153</v>
      </c>
      <c r="AI177" s="475" t="s">
        <v>154</v>
      </c>
      <c r="AJ177" s="475" t="s">
        <v>121</v>
      </c>
      <c r="AK177" s="475" t="s">
        <v>403</v>
      </c>
      <c r="AL177" s="475" t="s">
        <v>404</v>
      </c>
      <c r="AM177" s="475" t="s">
        <v>405</v>
      </c>
      <c r="AN177" s="475" t="s">
        <v>406</v>
      </c>
      <c r="AO177" s="475" t="s">
        <v>407</v>
      </c>
      <c r="AP177" s="475" t="s">
        <v>408</v>
      </c>
      <c r="AQ177" s="475" t="s">
        <v>409</v>
      </c>
      <c r="AR177" s="475" t="s">
        <v>410</v>
      </c>
      <c r="AS177" s="475" t="s">
        <v>411</v>
      </c>
      <c r="AT177" s="475" t="s">
        <v>412</v>
      </c>
      <c r="AU177" s="475"/>
      <c r="AV177" s="475"/>
      <c r="AW177" s="714"/>
    </row>
    <row r="178" spans="1:50" x14ac:dyDescent="0.2">
      <c r="A178" s="436"/>
      <c r="B178" s="704" t="str">
        <f>B155</f>
        <v>Soil</v>
      </c>
      <c r="C178" s="477" t="s">
        <v>370</v>
      </c>
      <c r="D178" s="477" t="s">
        <v>414</v>
      </c>
      <c r="E178" s="478" t="s">
        <v>415</v>
      </c>
      <c r="F178" s="477">
        <v>2000</v>
      </c>
      <c r="G178" s="477">
        <v>2001</v>
      </c>
      <c r="H178" s="477">
        <v>2002</v>
      </c>
      <c r="I178" s="477">
        <v>2003</v>
      </c>
      <c r="J178" s="477">
        <v>2004</v>
      </c>
      <c r="K178" s="477">
        <v>2005</v>
      </c>
      <c r="L178" s="477">
        <v>2006</v>
      </c>
      <c r="M178" s="477">
        <v>2007</v>
      </c>
      <c r="N178" s="477">
        <v>2008</v>
      </c>
      <c r="O178" s="477">
        <v>2009</v>
      </c>
      <c r="P178" s="477">
        <v>2010</v>
      </c>
      <c r="Q178" s="477">
        <v>2011</v>
      </c>
      <c r="R178" s="477">
        <v>2012</v>
      </c>
      <c r="S178" s="477">
        <v>2013</v>
      </c>
      <c r="T178" s="477">
        <v>2014</v>
      </c>
      <c r="U178" s="477">
        <v>2015</v>
      </c>
      <c r="V178" s="477">
        <v>2016</v>
      </c>
      <c r="W178" s="477">
        <v>2017</v>
      </c>
      <c r="X178" s="477">
        <v>2018</v>
      </c>
      <c r="Y178" s="477">
        <v>2019</v>
      </c>
      <c r="Z178" s="477">
        <v>2020</v>
      </c>
      <c r="AA178" s="477">
        <v>2021</v>
      </c>
      <c r="AB178" s="477">
        <v>2022</v>
      </c>
      <c r="AC178" s="477">
        <v>2023</v>
      </c>
      <c r="AD178" s="477">
        <v>2024</v>
      </c>
      <c r="AE178" s="477">
        <v>2025</v>
      </c>
      <c r="AF178" s="477">
        <v>2026</v>
      </c>
      <c r="AG178" s="477">
        <v>2027</v>
      </c>
      <c r="AH178" s="477">
        <v>2028</v>
      </c>
      <c r="AI178" s="477">
        <v>2029</v>
      </c>
      <c r="AJ178" s="477">
        <v>2030</v>
      </c>
      <c r="AK178" s="477">
        <v>2031</v>
      </c>
      <c r="AL178" s="477">
        <v>2032</v>
      </c>
      <c r="AM178" s="477">
        <v>2033</v>
      </c>
      <c r="AN178" s="477">
        <v>2034</v>
      </c>
      <c r="AO178" s="477">
        <v>2035</v>
      </c>
      <c r="AP178" s="477">
        <v>2036</v>
      </c>
      <c r="AQ178" s="477">
        <v>2037</v>
      </c>
      <c r="AR178" s="477">
        <v>2038</v>
      </c>
      <c r="AS178" s="477">
        <v>2039</v>
      </c>
      <c r="AT178" s="477">
        <v>2040</v>
      </c>
      <c r="AU178" s="477"/>
      <c r="AV178" s="477"/>
      <c r="AW178" s="723"/>
    </row>
    <row r="179" spans="1:50" x14ac:dyDescent="0.2">
      <c r="A179" s="436"/>
      <c r="B179" s="962" t="str">
        <f>B156</f>
        <v>HAC</v>
      </c>
      <c r="C179" s="951" t="str">
        <f>C156</f>
        <v>corn-soy-alfalfa-alfalfa</v>
      </c>
      <c r="D179" s="467">
        <f>D156</f>
        <v>23738.289999999997</v>
      </c>
      <c r="E179" s="474" t="str">
        <f>E156</f>
        <v>Full till</v>
      </c>
      <c r="F179" s="488">
        <f t="shared" ref="F179:Y179" si="169">$F156</f>
        <v>435692.57465999993</v>
      </c>
      <c r="G179" s="488">
        <f t="shared" si="169"/>
        <v>435692.57465999993</v>
      </c>
      <c r="H179" s="488">
        <f t="shared" si="169"/>
        <v>435692.57465999993</v>
      </c>
      <c r="I179" s="488">
        <f t="shared" si="169"/>
        <v>435692.57465999993</v>
      </c>
      <c r="J179" s="488">
        <f t="shared" si="169"/>
        <v>435692.57465999993</v>
      </c>
      <c r="K179" s="488">
        <f t="shared" si="169"/>
        <v>435692.57465999993</v>
      </c>
      <c r="L179" s="488">
        <f t="shared" si="169"/>
        <v>435692.57465999993</v>
      </c>
      <c r="M179" s="488">
        <f t="shared" si="169"/>
        <v>435692.57465999993</v>
      </c>
      <c r="N179" s="488">
        <f t="shared" si="169"/>
        <v>435692.57465999993</v>
      </c>
      <c r="O179" s="488">
        <f t="shared" si="169"/>
        <v>435692.57465999993</v>
      </c>
      <c r="P179" s="488">
        <f t="shared" si="169"/>
        <v>435692.57465999993</v>
      </c>
      <c r="Q179" s="488">
        <f t="shared" si="169"/>
        <v>435692.57465999993</v>
      </c>
      <c r="R179" s="488">
        <f t="shared" si="169"/>
        <v>435692.57465999993</v>
      </c>
      <c r="S179" s="488">
        <f t="shared" si="169"/>
        <v>435692.57465999993</v>
      </c>
      <c r="T179" s="488">
        <f t="shared" si="169"/>
        <v>435692.57465999993</v>
      </c>
      <c r="U179" s="488">
        <f t="shared" si="169"/>
        <v>435692.57465999993</v>
      </c>
      <c r="V179" s="488">
        <f t="shared" si="169"/>
        <v>435692.57465999993</v>
      </c>
      <c r="W179" s="488">
        <f t="shared" si="169"/>
        <v>435692.57465999993</v>
      </c>
      <c r="X179" s="488">
        <f t="shared" si="169"/>
        <v>435692.57465999993</v>
      </c>
      <c r="Y179" s="488">
        <f t="shared" si="169"/>
        <v>435692.57465999993</v>
      </c>
      <c r="Z179" s="488">
        <f t="shared" ref="Z179:Z196" si="170">F156</f>
        <v>435692.57465999993</v>
      </c>
      <c r="AA179" s="488">
        <f t="shared" ref="AA179:AA196" si="171">G156</f>
        <v>419354.10311024997</v>
      </c>
      <c r="AB179" s="488">
        <f t="shared" ref="AB179:AB196" si="172">H156</f>
        <v>403015.63156049995</v>
      </c>
      <c r="AC179" s="488">
        <f t="shared" ref="AC179:AC196" si="173">I156</f>
        <v>386677.16001074988</v>
      </c>
      <c r="AD179" s="488">
        <f t="shared" ref="AD179:AD196" si="174">J156</f>
        <v>370338.68846099993</v>
      </c>
      <c r="AE179" s="488">
        <f t="shared" ref="AE179:AE196" si="175">K156</f>
        <v>354000.21691124991</v>
      </c>
      <c r="AF179" s="488">
        <f t="shared" ref="AF179:AF196" si="176">L156</f>
        <v>337661.74536149995</v>
      </c>
      <c r="AG179" s="488">
        <f t="shared" ref="AG179:AG196" si="177">M156</f>
        <v>321323.27381175</v>
      </c>
      <c r="AH179" s="488">
        <f t="shared" ref="AH179:AH196" si="178">N156</f>
        <v>304984.80226199992</v>
      </c>
      <c r="AI179" s="488">
        <f t="shared" ref="AI179:AI196" si="179">O156</f>
        <v>288646.33071225003</v>
      </c>
      <c r="AJ179" s="488">
        <f t="shared" ref="AJ179:AJ196" si="180">P156</f>
        <v>272307.85916249995</v>
      </c>
      <c r="AK179" s="488">
        <f t="shared" ref="AK179:AK196" si="181">Q156</f>
        <v>255969.38761274997</v>
      </c>
      <c r="AL179" s="488">
        <f t="shared" ref="AL179:AL196" si="182">R156</f>
        <v>239630.91606299998</v>
      </c>
      <c r="AM179" s="488">
        <f t="shared" ref="AM179:AM196" si="183">S156</f>
        <v>223292.44451324997</v>
      </c>
      <c r="AN179" s="488">
        <f t="shared" ref="AN179:AN196" si="184">T156</f>
        <v>206953.97296349995</v>
      </c>
      <c r="AO179" s="488">
        <f t="shared" ref="AO179:AO196" si="185">U156</f>
        <v>190615.50141374991</v>
      </c>
      <c r="AP179" s="488">
        <f t="shared" ref="AP179:AP196" si="186">V156</f>
        <v>174277.02986399995</v>
      </c>
      <c r="AQ179" s="488">
        <f t="shared" ref="AQ179:AQ196" si="187">W156</f>
        <v>157938.55831424988</v>
      </c>
      <c r="AR179" s="488">
        <f t="shared" ref="AR179:AR196" si="188">X156</f>
        <v>141600.08676449989</v>
      </c>
      <c r="AS179" s="488">
        <f t="shared" ref="AS179:AS196" si="189">Y156</f>
        <v>125261.61521474987</v>
      </c>
      <c r="AT179" s="488">
        <f t="shared" ref="AT179:AT196" si="190">Z156</f>
        <v>108923.14366499988</v>
      </c>
      <c r="AU179" s="488"/>
      <c r="AV179" s="488"/>
      <c r="AW179" s="716"/>
      <c r="AX179" s="509" t="str">
        <f>B179&amp;"-"&amp;C179&amp;"-"&amp;E179</f>
        <v>HAC-corn-soy-alfalfa-alfalfa-Full till</v>
      </c>
    </row>
    <row r="180" spans="1:50" x14ac:dyDescent="0.2">
      <c r="A180" s="436"/>
      <c r="B180" s="962"/>
      <c r="C180" s="951"/>
      <c r="D180" s="467"/>
      <c r="E180" s="474" t="str">
        <f t="shared" ref="E180:E196" si="191">E157</f>
        <v>Reduced till</v>
      </c>
      <c r="F180" s="488">
        <f t="shared" ref="F180:Y180" si="192">$F157</f>
        <v>0</v>
      </c>
      <c r="G180" s="488">
        <f t="shared" si="192"/>
        <v>0</v>
      </c>
      <c r="H180" s="488">
        <f t="shared" si="192"/>
        <v>0</v>
      </c>
      <c r="I180" s="488">
        <f t="shared" si="192"/>
        <v>0</v>
      </c>
      <c r="J180" s="488">
        <f t="shared" si="192"/>
        <v>0</v>
      </c>
      <c r="K180" s="488">
        <f t="shared" si="192"/>
        <v>0</v>
      </c>
      <c r="L180" s="488">
        <f t="shared" si="192"/>
        <v>0</v>
      </c>
      <c r="M180" s="488">
        <f t="shared" si="192"/>
        <v>0</v>
      </c>
      <c r="N180" s="488">
        <f t="shared" si="192"/>
        <v>0</v>
      </c>
      <c r="O180" s="488">
        <f t="shared" si="192"/>
        <v>0</v>
      </c>
      <c r="P180" s="488">
        <f t="shared" si="192"/>
        <v>0</v>
      </c>
      <c r="Q180" s="488">
        <f t="shared" si="192"/>
        <v>0</v>
      </c>
      <c r="R180" s="488">
        <f t="shared" si="192"/>
        <v>0</v>
      </c>
      <c r="S180" s="488">
        <f t="shared" si="192"/>
        <v>0</v>
      </c>
      <c r="T180" s="488">
        <f t="shared" si="192"/>
        <v>0</v>
      </c>
      <c r="U180" s="488">
        <f t="shared" si="192"/>
        <v>0</v>
      </c>
      <c r="V180" s="488">
        <f t="shared" si="192"/>
        <v>0</v>
      </c>
      <c r="W180" s="488">
        <f t="shared" si="192"/>
        <v>0</v>
      </c>
      <c r="X180" s="488">
        <f t="shared" si="192"/>
        <v>0</v>
      </c>
      <c r="Y180" s="488">
        <f t="shared" si="192"/>
        <v>0</v>
      </c>
      <c r="Z180" s="488">
        <f t="shared" si="170"/>
        <v>0</v>
      </c>
      <c r="AA180" s="488">
        <f t="shared" si="171"/>
        <v>5902.4878272359992</v>
      </c>
      <c r="AB180" s="488">
        <f t="shared" si="172"/>
        <v>11804.975654471998</v>
      </c>
      <c r="AC180" s="488">
        <f t="shared" si="173"/>
        <v>17707.463481708</v>
      </c>
      <c r="AD180" s="488">
        <f t="shared" si="174"/>
        <v>23609.951308943997</v>
      </c>
      <c r="AE180" s="488">
        <f t="shared" si="175"/>
        <v>29512.439136179997</v>
      </c>
      <c r="AF180" s="488">
        <f t="shared" si="176"/>
        <v>35414.926963415994</v>
      </c>
      <c r="AG180" s="488">
        <f t="shared" si="177"/>
        <v>41317.414790651987</v>
      </c>
      <c r="AH180" s="488">
        <f t="shared" si="178"/>
        <v>47219.902617887994</v>
      </c>
      <c r="AI180" s="488">
        <f t="shared" si="179"/>
        <v>53122.390445123987</v>
      </c>
      <c r="AJ180" s="488">
        <f t="shared" si="180"/>
        <v>59024.87827235998</v>
      </c>
      <c r="AK180" s="488">
        <f t="shared" si="181"/>
        <v>64927.366099595987</v>
      </c>
      <c r="AL180" s="488">
        <f t="shared" si="182"/>
        <v>70829.853926831987</v>
      </c>
      <c r="AM180" s="488">
        <f t="shared" si="183"/>
        <v>76732.341754067995</v>
      </c>
      <c r="AN180" s="488">
        <f t="shared" si="184"/>
        <v>82634.829581304002</v>
      </c>
      <c r="AO180" s="488">
        <f t="shared" si="185"/>
        <v>88537.317408539995</v>
      </c>
      <c r="AP180" s="488">
        <f t="shared" si="186"/>
        <v>94439.805235776003</v>
      </c>
      <c r="AQ180" s="488">
        <f t="shared" si="187"/>
        <v>100342.29306301201</v>
      </c>
      <c r="AR180" s="488">
        <f t="shared" si="188"/>
        <v>106244.78089024802</v>
      </c>
      <c r="AS180" s="488">
        <f t="shared" si="189"/>
        <v>112147.26871748402</v>
      </c>
      <c r="AT180" s="488">
        <f t="shared" si="190"/>
        <v>118049.75654472</v>
      </c>
      <c r="AU180" s="488"/>
      <c r="AV180" s="488"/>
      <c r="AW180" s="723"/>
      <c r="AX180" s="509" t="str">
        <f>B179&amp;"-"&amp;C179&amp;"-"&amp;E180</f>
        <v>HAC-corn-soy-alfalfa-alfalfa-Reduced till</v>
      </c>
    </row>
    <row r="181" spans="1:50" x14ac:dyDescent="0.2">
      <c r="A181" s="436"/>
      <c r="B181" s="962"/>
      <c r="C181" s="951"/>
      <c r="D181" s="467"/>
      <c r="E181" s="474" t="str">
        <f t="shared" si="191"/>
        <v>No-till</v>
      </c>
      <c r="F181" s="488">
        <f t="shared" ref="F181:Y181" si="193">$F158</f>
        <v>0</v>
      </c>
      <c r="G181" s="488">
        <f t="shared" si="193"/>
        <v>0</v>
      </c>
      <c r="H181" s="488">
        <f t="shared" si="193"/>
        <v>0</v>
      </c>
      <c r="I181" s="488">
        <f t="shared" si="193"/>
        <v>0</v>
      </c>
      <c r="J181" s="488">
        <f t="shared" si="193"/>
        <v>0</v>
      </c>
      <c r="K181" s="488">
        <f t="shared" si="193"/>
        <v>0</v>
      </c>
      <c r="L181" s="488">
        <f t="shared" si="193"/>
        <v>0</v>
      </c>
      <c r="M181" s="488">
        <f t="shared" si="193"/>
        <v>0</v>
      </c>
      <c r="N181" s="488">
        <f t="shared" si="193"/>
        <v>0</v>
      </c>
      <c r="O181" s="488">
        <f t="shared" si="193"/>
        <v>0</v>
      </c>
      <c r="P181" s="488">
        <f t="shared" si="193"/>
        <v>0</v>
      </c>
      <c r="Q181" s="488">
        <f t="shared" si="193"/>
        <v>0</v>
      </c>
      <c r="R181" s="488">
        <f t="shared" si="193"/>
        <v>0</v>
      </c>
      <c r="S181" s="488">
        <f t="shared" si="193"/>
        <v>0</v>
      </c>
      <c r="T181" s="488">
        <f t="shared" si="193"/>
        <v>0</v>
      </c>
      <c r="U181" s="488">
        <f t="shared" si="193"/>
        <v>0</v>
      </c>
      <c r="V181" s="488">
        <f t="shared" si="193"/>
        <v>0</v>
      </c>
      <c r="W181" s="488">
        <f t="shared" si="193"/>
        <v>0</v>
      </c>
      <c r="X181" s="488">
        <f t="shared" si="193"/>
        <v>0</v>
      </c>
      <c r="Y181" s="488">
        <f t="shared" si="193"/>
        <v>0</v>
      </c>
      <c r="Z181" s="488">
        <f t="shared" si="170"/>
        <v>0</v>
      </c>
      <c r="AA181" s="488">
        <f t="shared" si="171"/>
        <v>12401.186546112</v>
      </c>
      <c r="AB181" s="488">
        <f t="shared" si="172"/>
        <v>24802.373092223999</v>
      </c>
      <c r="AC181" s="488">
        <f t="shared" si="173"/>
        <v>37203.559638336003</v>
      </c>
      <c r="AD181" s="488">
        <f t="shared" si="174"/>
        <v>49604.746184447999</v>
      </c>
      <c r="AE181" s="488">
        <f t="shared" si="175"/>
        <v>62005.932730559995</v>
      </c>
      <c r="AF181" s="488">
        <f t="shared" si="176"/>
        <v>74407.119276671991</v>
      </c>
      <c r="AG181" s="488">
        <f t="shared" si="177"/>
        <v>86808.305822783979</v>
      </c>
      <c r="AH181" s="488">
        <f t="shared" si="178"/>
        <v>99209.492368895997</v>
      </c>
      <c r="AI181" s="488">
        <f t="shared" si="179"/>
        <v>111610.67891500799</v>
      </c>
      <c r="AJ181" s="488">
        <f t="shared" si="180"/>
        <v>124011.86546111997</v>
      </c>
      <c r="AK181" s="488">
        <f t="shared" si="181"/>
        <v>136413.05200723198</v>
      </c>
      <c r="AL181" s="488">
        <f t="shared" si="182"/>
        <v>148814.23855334398</v>
      </c>
      <c r="AM181" s="488">
        <f t="shared" si="183"/>
        <v>161215.42509945601</v>
      </c>
      <c r="AN181" s="488">
        <f t="shared" si="184"/>
        <v>173616.61164556802</v>
      </c>
      <c r="AO181" s="488">
        <f t="shared" si="185"/>
        <v>186017.79819167999</v>
      </c>
      <c r="AP181" s="488">
        <f t="shared" si="186"/>
        <v>198418.98473779202</v>
      </c>
      <c r="AQ181" s="488">
        <f t="shared" si="187"/>
        <v>210820.17128390406</v>
      </c>
      <c r="AR181" s="488">
        <f t="shared" si="188"/>
        <v>223221.35783001606</v>
      </c>
      <c r="AS181" s="488">
        <f t="shared" si="189"/>
        <v>235622.54437612806</v>
      </c>
      <c r="AT181" s="488">
        <f t="shared" si="190"/>
        <v>248023.73092224004</v>
      </c>
      <c r="AU181" s="488"/>
      <c r="AV181" s="488"/>
      <c r="AW181" s="723"/>
      <c r="AX181" s="509" t="str">
        <f>B179&amp;"-"&amp;C179&amp;"-"&amp;E181</f>
        <v>HAC-corn-soy-alfalfa-alfalfa-No-till</v>
      </c>
    </row>
    <row r="182" spans="1:50" x14ac:dyDescent="0.2">
      <c r="A182" s="436"/>
      <c r="B182" s="962" t="str">
        <f t="shared" ref="B182:C182" si="194">B159</f>
        <v>HAC</v>
      </c>
      <c r="C182" s="951" t="str">
        <f t="shared" si="194"/>
        <v>wheat</v>
      </c>
      <c r="D182" s="467">
        <f>D159</f>
        <v>18182.52</v>
      </c>
      <c r="E182" s="474" t="str">
        <f t="shared" si="191"/>
        <v>Full till</v>
      </c>
      <c r="F182" s="488">
        <f t="shared" ref="F182:Y182" si="195">$F159</f>
        <v>333721.97207999998</v>
      </c>
      <c r="G182" s="488">
        <f t="shared" si="195"/>
        <v>333721.97207999998</v>
      </c>
      <c r="H182" s="488">
        <f t="shared" si="195"/>
        <v>333721.97207999998</v>
      </c>
      <c r="I182" s="488">
        <f t="shared" si="195"/>
        <v>333721.97207999998</v>
      </c>
      <c r="J182" s="488">
        <f t="shared" si="195"/>
        <v>333721.97207999998</v>
      </c>
      <c r="K182" s="488">
        <f t="shared" si="195"/>
        <v>333721.97207999998</v>
      </c>
      <c r="L182" s="488">
        <f t="shared" si="195"/>
        <v>333721.97207999998</v>
      </c>
      <c r="M182" s="488">
        <f t="shared" si="195"/>
        <v>333721.97207999998</v>
      </c>
      <c r="N182" s="488">
        <f t="shared" si="195"/>
        <v>333721.97207999998</v>
      </c>
      <c r="O182" s="488">
        <f t="shared" si="195"/>
        <v>333721.97207999998</v>
      </c>
      <c r="P182" s="488">
        <f t="shared" si="195"/>
        <v>333721.97207999998</v>
      </c>
      <c r="Q182" s="488">
        <f t="shared" si="195"/>
        <v>333721.97207999998</v>
      </c>
      <c r="R182" s="488">
        <f t="shared" si="195"/>
        <v>333721.97207999998</v>
      </c>
      <c r="S182" s="488">
        <f t="shared" si="195"/>
        <v>333721.97207999998</v>
      </c>
      <c r="T182" s="488">
        <f t="shared" si="195"/>
        <v>333721.97207999998</v>
      </c>
      <c r="U182" s="488">
        <f t="shared" si="195"/>
        <v>333721.97207999998</v>
      </c>
      <c r="V182" s="488">
        <f t="shared" si="195"/>
        <v>333721.97207999998</v>
      </c>
      <c r="W182" s="488">
        <f t="shared" si="195"/>
        <v>333721.97207999998</v>
      </c>
      <c r="X182" s="488">
        <f t="shared" si="195"/>
        <v>333721.97207999998</v>
      </c>
      <c r="Y182" s="488">
        <f t="shared" si="195"/>
        <v>333721.97207999998</v>
      </c>
      <c r="Z182" s="488">
        <f t="shared" si="170"/>
        <v>333721.97207999998</v>
      </c>
      <c r="AA182" s="488">
        <f t="shared" si="171"/>
        <v>320373.09319679998</v>
      </c>
      <c r="AB182" s="488">
        <f t="shared" si="172"/>
        <v>307024.21431360004</v>
      </c>
      <c r="AC182" s="488">
        <f t="shared" si="173"/>
        <v>293675.33543039998</v>
      </c>
      <c r="AD182" s="488">
        <f t="shared" si="174"/>
        <v>280326.45654719998</v>
      </c>
      <c r="AE182" s="488">
        <f t="shared" si="175"/>
        <v>266977.57766400004</v>
      </c>
      <c r="AF182" s="488">
        <f t="shared" si="176"/>
        <v>253628.69878080001</v>
      </c>
      <c r="AG182" s="488">
        <f t="shared" si="177"/>
        <v>240279.81989759998</v>
      </c>
      <c r="AH182" s="488">
        <f t="shared" si="178"/>
        <v>226930.94101439996</v>
      </c>
      <c r="AI182" s="488">
        <f t="shared" si="179"/>
        <v>213582.06213119999</v>
      </c>
      <c r="AJ182" s="488">
        <f t="shared" si="180"/>
        <v>200233.18324800002</v>
      </c>
      <c r="AK182" s="488">
        <f t="shared" si="181"/>
        <v>186884.30436479999</v>
      </c>
      <c r="AL182" s="488">
        <f t="shared" si="182"/>
        <v>173535.42548159996</v>
      </c>
      <c r="AM182" s="488">
        <f t="shared" si="183"/>
        <v>160186.54659839996</v>
      </c>
      <c r="AN182" s="488">
        <f t="shared" si="184"/>
        <v>146837.66771519993</v>
      </c>
      <c r="AO182" s="488">
        <f t="shared" si="185"/>
        <v>133488.78883199993</v>
      </c>
      <c r="AP182" s="488">
        <f t="shared" si="186"/>
        <v>120139.90994879992</v>
      </c>
      <c r="AQ182" s="488">
        <f t="shared" si="187"/>
        <v>106791.03106559991</v>
      </c>
      <c r="AR182" s="488">
        <f t="shared" si="188"/>
        <v>93442.152182399892</v>
      </c>
      <c r="AS182" s="488">
        <f t="shared" si="189"/>
        <v>80093.273299199878</v>
      </c>
      <c r="AT182" s="488">
        <f t="shared" si="190"/>
        <v>66744.394415999865</v>
      </c>
      <c r="AU182" s="488"/>
      <c r="AV182" s="488"/>
      <c r="AW182" s="723"/>
      <c r="AX182" s="509" t="str">
        <f>B182&amp;"-"&amp;C182&amp;"-"&amp;E182</f>
        <v>HAC-wheat-Full till</v>
      </c>
    </row>
    <row r="183" spans="1:50" x14ac:dyDescent="0.2">
      <c r="A183" s="436"/>
      <c r="B183" s="962"/>
      <c r="C183" s="951"/>
      <c r="D183" s="467"/>
      <c r="E183" s="474" t="str">
        <f t="shared" si="191"/>
        <v>Reduced till</v>
      </c>
      <c r="F183" s="488">
        <f t="shared" ref="F183:Y183" si="196">$F160</f>
        <v>0</v>
      </c>
      <c r="G183" s="488">
        <f t="shared" si="196"/>
        <v>0</v>
      </c>
      <c r="H183" s="488">
        <f t="shared" si="196"/>
        <v>0</v>
      </c>
      <c r="I183" s="488">
        <f t="shared" si="196"/>
        <v>0</v>
      </c>
      <c r="J183" s="488">
        <f t="shared" si="196"/>
        <v>0</v>
      </c>
      <c r="K183" s="488">
        <f t="shared" si="196"/>
        <v>0</v>
      </c>
      <c r="L183" s="488">
        <f t="shared" si="196"/>
        <v>0</v>
      </c>
      <c r="M183" s="488">
        <f t="shared" si="196"/>
        <v>0</v>
      </c>
      <c r="N183" s="488">
        <f t="shared" si="196"/>
        <v>0</v>
      </c>
      <c r="O183" s="488">
        <f t="shared" si="196"/>
        <v>0</v>
      </c>
      <c r="P183" s="488">
        <f t="shared" si="196"/>
        <v>0</v>
      </c>
      <c r="Q183" s="488">
        <f t="shared" si="196"/>
        <v>0</v>
      </c>
      <c r="R183" s="488">
        <f t="shared" si="196"/>
        <v>0</v>
      </c>
      <c r="S183" s="488">
        <f t="shared" si="196"/>
        <v>0</v>
      </c>
      <c r="T183" s="488">
        <f t="shared" si="196"/>
        <v>0</v>
      </c>
      <c r="U183" s="488">
        <f t="shared" si="196"/>
        <v>0</v>
      </c>
      <c r="V183" s="488">
        <f t="shared" si="196"/>
        <v>0</v>
      </c>
      <c r="W183" s="488">
        <f t="shared" si="196"/>
        <v>0</v>
      </c>
      <c r="X183" s="488">
        <f t="shared" si="196"/>
        <v>0</v>
      </c>
      <c r="Y183" s="488">
        <f t="shared" si="196"/>
        <v>0</v>
      </c>
      <c r="Z183" s="488">
        <f t="shared" si="170"/>
        <v>0</v>
      </c>
      <c r="AA183" s="488">
        <f t="shared" si="171"/>
        <v>10850.5308143232</v>
      </c>
      <c r="AB183" s="488">
        <f t="shared" si="172"/>
        <v>21701.061628646399</v>
      </c>
      <c r="AC183" s="488">
        <f t="shared" si="173"/>
        <v>32551.592442969599</v>
      </c>
      <c r="AD183" s="488">
        <f t="shared" si="174"/>
        <v>43402.123257292798</v>
      </c>
      <c r="AE183" s="488">
        <f t="shared" si="175"/>
        <v>54252.654071616002</v>
      </c>
      <c r="AF183" s="488">
        <f t="shared" si="176"/>
        <v>65103.184885939198</v>
      </c>
      <c r="AG183" s="488">
        <f t="shared" si="177"/>
        <v>75953.715700262401</v>
      </c>
      <c r="AH183" s="488">
        <f t="shared" si="178"/>
        <v>86804.246514585597</v>
      </c>
      <c r="AI183" s="488">
        <f t="shared" si="179"/>
        <v>97654.777328908807</v>
      </c>
      <c r="AJ183" s="488">
        <f t="shared" si="180"/>
        <v>108505.30814323202</v>
      </c>
      <c r="AK183" s="488">
        <f t="shared" si="181"/>
        <v>119355.83895755523</v>
      </c>
      <c r="AL183" s="488">
        <f t="shared" si="182"/>
        <v>130206.36977187842</v>
      </c>
      <c r="AM183" s="488">
        <f t="shared" si="183"/>
        <v>141056.90058620163</v>
      </c>
      <c r="AN183" s="488">
        <f t="shared" si="184"/>
        <v>151907.43140052486</v>
      </c>
      <c r="AO183" s="488">
        <f t="shared" si="185"/>
        <v>162757.96221484806</v>
      </c>
      <c r="AP183" s="488">
        <f t="shared" si="186"/>
        <v>173608.49302917125</v>
      </c>
      <c r="AQ183" s="488">
        <f t="shared" si="187"/>
        <v>184459.02384349451</v>
      </c>
      <c r="AR183" s="488">
        <f t="shared" si="188"/>
        <v>195309.5546578177</v>
      </c>
      <c r="AS183" s="488">
        <f t="shared" si="189"/>
        <v>206160.08547214093</v>
      </c>
      <c r="AT183" s="488">
        <f t="shared" si="190"/>
        <v>217010.61628646412</v>
      </c>
      <c r="AU183" s="488"/>
      <c r="AV183" s="488"/>
      <c r="AW183" s="723"/>
      <c r="AX183" s="509" t="str">
        <f>B182&amp;"-"&amp;C182&amp;"-"&amp;E183</f>
        <v>HAC-wheat-Reduced till</v>
      </c>
    </row>
    <row r="184" spans="1:50" x14ac:dyDescent="0.2">
      <c r="A184" s="436"/>
      <c r="B184" s="962"/>
      <c r="C184" s="951"/>
      <c r="D184" s="467"/>
      <c r="E184" s="474" t="str">
        <f t="shared" si="191"/>
        <v>No-till</v>
      </c>
      <c r="F184" s="488">
        <f t="shared" ref="F184:Y184" si="197">$F161</f>
        <v>0</v>
      </c>
      <c r="G184" s="488">
        <f t="shared" si="197"/>
        <v>0</v>
      </c>
      <c r="H184" s="488">
        <f t="shared" si="197"/>
        <v>0</v>
      </c>
      <c r="I184" s="488">
        <f t="shared" si="197"/>
        <v>0</v>
      </c>
      <c r="J184" s="488">
        <f t="shared" si="197"/>
        <v>0</v>
      </c>
      <c r="K184" s="488">
        <f t="shared" si="197"/>
        <v>0</v>
      </c>
      <c r="L184" s="488">
        <f t="shared" si="197"/>
        <v>0</v>
      </c>
      <c r="M184" s="488">
        <f t="shared" si="197"/>
        <v>0</v>
      </c>
      <c r="N184" s="488">
        <f t="shared" si="197"/>
        <v>0</v>
      </c>
      <c r="O184" s="488">
        <f t="shared" si="197"/>
        <v>0</v>
      </c>
      <c r="P184" s="488">
        <f t="shared" si="197"/>
        <v>0</v>
      </c>
      <c r="Q184" s="488">
        <f t="shared" si="197"/>
        <v>0</v>
      </c>
      <c r="R184" s="488">
        <f t="shared" si="197"/>
        <v>0</v>
      </c>
      <c r="S184" s="488">
        <f t="shared" si="197"/>
        <v>0</v>
      </c>
      <c r="T184" s="488">
        <f t="shared" si="197"/>
        <v>0</v>
      </c>
      <c r="U184" s="488">
        <f t="shared" si="197"/>
        <v>0</v>
      </c>
      <c r="V184" s="488">
        <f t="shared" si="197"/>
        <v>0</v>
      </c>
      <c r="W184" s="488">
        <f t="shared" si="197"/>
        <v>0</v>
      </c>
      <c r="X184" s="488">
        <f t="shared" si="197"/>
        <v>0</v>
      </c>
      <c r="Y184" s="488">
        <f t="shared" si="197"/>
        <v>0</v>
      </c>
      <c r="Z184" s="488">
        <f t="shared" si="170"/>
        <v>0</v>
      </c>
      <c r="AA184" s="488">
        <f t="shared" si="171"/>
        <v>3799.5124737024003</v>
      </c>
      <c r="AB184" s="488">
        <f t="shared" si="172"/>
        <v>7599.0249474048005</v>
      </c>
      <c r="AC184" s="488">
        <f t="shared" si="173"/>
        <v>11398.537421107201</v>
      </c>
      <c r="AD184" s="488">
        <f t="shared" si="174"/>
        <v>15198.049894809601</v>
      </c>
      <c r="AE184" s="488">
        <f t="shared" si="175"/>
        <v>18997.562368512004</v>
      </c>
      <c r="AF184" s="488">
        <f t="shared" si="176"/>
        <v>22797.074842214406</v>
      </c>
      <c r="AG184" s="488">
        <f t="shared" si="177"/>
        <v>26596.587315916804</v>
      </c>
      <c r="AH184" s="488">
        <f t="shared" si="178"/>
        <v>30396.099789619202</v>
      </c>
      <c r="AI184" s="488">
        <f t="shared" si="179"/>
        <v>34195.6122633216</v>
      </c>
      <c r="AJ184" s="488">
        <f t="shared" si="180"/>
        <v>37995.124737024002</v>
      </c>
      <c r="AK184" s="488">
        <f t="shared" si="181"/>
        <v>41794.637210726396</v>
      </c>
      <c r="AL184" s="488">
        <f t="shared" si="182"/>
        <v>45594.149684428805</v>
      </c>
      <c r="AM184" s="488">
        <f t="shared" si="183"/>
        <v>49393.662158131199</v>
      </c>
      <c r="AN184" s="488">
        <f t="shared" si="184"/>
        <v>53193.174631833601</v>
      </c>
      <c r="AO184" s="488">
        <f t="shared" si="185"/>
        <v>56992.68710553601</v>
      </c>
      <c r="AP184" s="488">
        <f t="shared" si="186"/>
        <v>60792.199579238404</v>
      </c>
      <c r="AQ184" s="488">
        <f t="shared" si="187"/>
        <v>64591.712052940806</v>
      </c>
      <c r="AR184" s="488">
        <f t="shared" si="188"/>
        <v>68391.224526643215</v>
      </c>
      <c r="AS184" s="488">
        <f t="shared" si="189"/>
        <v>72190.737000345616</v>
      </c>
      <c r="AT184" s="488">
        <f t="shared" si="190"/>
        <v>75990.249474048018</v>
      </c>
      <c r="AU184" s="488"/>
      <c r="AV184" s="488"/>
      <c r="AW184" s="723"/>
      <c r="AX184" s="509" t="str">
        <f>B182&amp;"-"&amp;C182&amp;"-"&amp;E184</f>
        <v>HAC-wheat-No-till</v>
      </c>
    </row>
    <row r="185" spans="1:50" x14ac:dyDescent="0.2">
      <c r="A185" s="436"/>
      <c r="B185" s="962" t="str">
        <f t="shared" ref="B185:C185" si="198">B162</f>
        <v>HAC</v>
      </c>
      <c r="C185" s="951" t="str">
        <f t="shared" si="198"/>
        <v>cassava-beans</v>
      </c>
      <c r="D185" s="467">
        <f>D162</f>
        <v>8586.19</v>
      </c>
      <c r="E185" s="474" t="str">
        <f t="shared" si="191"/>
        <v>Full till</v>
      </c>
      <c r="F185" s="488">
        <f t="shared" ref="F185:Y185" si="199">$F162</f>
        <v>157590.93126000001</v>
      </c>
      <c r="G185" s="488">
        <f t="shared" si="199"/>
        <v>157590.93126000001</v>
      </c>
      <c r="H185" s="488">
        <f t="shared" si="199"/>
        <v>157590.93126000001</v>
      </c>
      <c r="I185" s="488">
        <f t="shared" si="199"/>
        <v>157590.93126000001</v>
      </c>
      <c r="J185" s="488">
        <f t="shared" si="199"/>
        <v>157590.93126000001</v>
      </c>
      <c r="K185" s="488">
        <f t="shared" si="199"/>
        <v>157590.93126000001</v>
      </c>
      <c r="L185" s="488">
        <f t="shared" si="199"/>
        <v>157590.93126000001</v>
      </c>
      <c r="M185" s="488">
        <f t="shared" si="199"/>
        <v>157590.93126000001</v>
      </c>
      <c r="N185" s="488">
        <f t="shared" si="199"/>
        <v>157590.93126000001</v>
      </c>
      <c r="O185" s="488">
        <f t="shared" si="199"/>
        <v>157590.93126000001</v>
      </c>
      <c r="P185" s="488">
        <f t="shared" si="199"/>
        <v>157590.93126000001</v>
      </c>
      <c r="Q185" s="488">
        <f t="shared" si="199"/>
        <v>157590.93126000001</v>
      </c>
      <c r="R185" s="488">
        <f t="shared" si="199"/>
        <v>157590.93126000001</v>
      </c>
      <c r="S185" s="488">
        <f t="shared" si="199"/>
        <v>157590.93126000001</v>
      </c>
      <c r="T185" s="488">
        <f t="shared" si="199"/>
        <v>157590.93126000001</v>
      </c>
      <c r="U185" s="488">
        <f t="shared" si="199"/>
        <v>157590.93126000001</v>
      </c>
      <c r="V185" s="488">
        <f t="shared" si="199"/>
        <v>157590.93126000001</v>
      </c>
      <c r="W185" s="488">
        <f t="shared" si="199"/>
        <v>157590.93126000001</v>
      </c>
      <c r="X185" s="488">
        <f t="shared" si="199"/>
        <v>157590.93126000001</v>
      </c>
      <c r="Y185" s="488">
        <f t="shared" si="199"/>
        <v>157590.93126000001</v>
      </c>
      <c r="Z185" s="488">
        <f t="shared" si="170"/>
        <v>157590.93126000001</v>
      </c>
      <c r="AA185" s="488">
        <f t="shared" si="171"/>
        <v>153651.15797850001</v>
      </c>
      <c r="AB185" s="488">
        <f t="shared" si="172"/>
        <v>149711.384697</v>
      </c>
      <c r="AC185" s="488">
        <f t="shared" si="173"/>
        <v>145771.6114155</v>
      </c>
      <c r="AD185" s="488">
        <f t="shared" si="174"/>
        <v>141831.83813400002</v>
      </c>
      <c r="AE185" s="488">
        <f t="shared" si="175"/>
        <v>137892.06485249999</v>
      </c>
      <c r="AF185" s="488">
        <f t="shared" si="176"/>
        <v>133952.29157100001</v>
      </c>
      <c r="AG185" s="488">
        <f t="shared" si="177"/>
        <v>130012.51828949999</v>
      </c>
      <c r="AH185" s="488">
        <f t="shared" si="178"/>
        <v>126072.74500800001</v>
      </c>
      <c r="AI185" s="488">
        <f t="shared" si="179"/>
        <v>122132.97172650001</v>
      </c>
      <c r="AJ185" s="488">
        <f t="shared" si="180"/>
        <v>118193.19844499999</v>
      </c>
      <c r="AK185" s="488">
        <f t="shared" si="181"/>
        <v>114253.42516350001</v>
      </c>
      <c r="AL185" s="488">
        <f t="shared" si="182"/>
        <v>110313.65188199999</v>
      </c>
      <c r="AM185" s="488">
        <f t="shared" si="183"/>
        <v>106373.87860050001</v>
      </c>
      <c r="AN185" s="488">
        <f t="shared" si="184"/>
        <v>102434.10531899998</v>
      </c>
      <c r="AO185" s="488">
        <f t="shared" si="185"/>
        <v>98494.332037500004</v>
      </c>
      <c r="AP185" s="488">
        <f t="shared" si="186"/>
        <v>94554.558755999984</v>
      </c>
      <c r="AQ185" s="488">
        <f t="shared" si="187"/>
        <v>90614.785474500008</v>
      </c>
      <c r="AR185" s="488">
        <f t="shared" si="188"/>
        <v>86675.012192999973</v>
      </c>
      <c r="AS185" s="488">
        <f t="shared" si="189"/>
        <v>82735.238911499997</v>
      </c>
      <c r="AT185" s="488">
        <f t="shared" si="190"/>
        <v>78795.465629999992</v>
      </c>
      <c r="AU185" s="488"/>
      <c r="AV185" s="488"/>
      <c r="AW185" s="723"/>
      <c r="AX185" s="509" t="str">
        <f>B185&amp;"-"&amp;C185&amp;"-"&amp;E185</f>
        <v>HAC-cassava-beans-Full till</v>
      </c>
    </row>
    <row r="186" spans="1:50" x14ac:dyDescent="0.2">
      <c r="A186" s="436"/>
      <c r="B186" s="962"/>
      <c r="C186" s="951"/>
      <c r="D186" s="467"/>
      <c r="E186" s="474" t="str">
        <f t="shared" si="191"/>
        <v>Reduced till</v>
      </c>
      <c r="F186" s="488">
        <f t="shared" ref="F186:Y186" si="200">$F163</f>
        <v>0</v>
      </c>
      <c r="G186" s="488">
        <f t="shared" si="200"/>
        <v>0</v>
      </c>
      <c r="H186" s="488">
        <f t="shared" si="200"/>
        <v>0</v>
      </c>
      <c r="I186" s="488">
        <f t="shared" si="200"/>
        <v>0</v>
      </c>
      <c r="J186" s="488">
        <f t="shared" si="200"/>
        <v>0</v>
      </c>
      <c r="K186" s="488">
        <f t="shared" si="200"/>
        <v>0</v>
      </c>
      <c r="L186" s="488">
        <f t="shared" si="200"/>
        <v>0</v>
      </c>
      <c r="M186" s="488">
        <f t="shared" si="200"/>
        <v>0</v>
      </c>
      <c r="N186" s="488">
        <f t="shared" si="200"/>
        <v>0</v>
      </c>
      <c r="O186" s="488">
        <f t="shared" si="200"/>
        <v>0</v>
      </c>
      <c r="P186" s="488">
        <f t="shared" si="200"/>
        <v>0</v>
      </c>
      <c r="Q186" s="488">
        <f t="shared" si="200"/>
        <v>0</v>
      </c>
      <c r="R186" s="488">
        <f t="shared" si="200"/>
        <v>0</v>
      </c>
      <c r="S186" s="488">
        <f t="shared" si="200"/>
        <v>0</v>
      </c>
      <c r="T186" s="488">
        <f t="shared" si="200"/>
        <v>0</v>
      </c>
      <c r="U186" s="488">
        <f t="shared" si="200"/>
        <v>0</v>
      </c>
      <c r="V186" s="488">
        <f t="shared" si="200"/>
        <v>0</v>
      </c>
      <c r="W186" s="488">
        <f t="shared" si="200"/>
        <v>0</v>
      </c>
      <c r="X186" s="488">
        <f t="shared" si="200"/>
        <v>0</v>
      </c>
      <c r="Y186" s="488">
        <f t="shared" si="200"/>
        <v>0</v>
      </c>
      <c r="Z186" s="488">
        <f t="shared" si="170"/>
        <v>0</v>
      </c>
      <c r="AA186" s="488">
        <f t="shared" si="171"/>
        <v>2134.9424055960003</v>
      </c>
      <c r="AB186" s="488">
        <f t="shared" si="172"/>
        <v>4269.8848111920006</v>
      </c>
      <c r="AC186" s="488">
        <f t="shared" si="173"/>
        <v>6404.8272167880004</v>
      </c>
      <c r="AD186" s="488">
        <f t="shared" si="174"/>
        <v>8539.7696223840012</v>
      </c>
      <c r="AE186" s="488">
        <f t="shared" si="175"/>
        <v>10674.71202798</v>
      </c>
      <c r="AF186" s="488">
        <f t="shared" si="176"/>
        <v>12809.654433575999</v>
      </c>
      <c r="AG186" s="488">
        <f t="shared" si="177"/>
        <v>14944.596839171998</v>
      </c>
      <c r="AH186" s="488">
        <f t="shared" si="178"/>
        <v>17079.539244767999</v>
      </c>
      <c r="AI186" s="488">
        <f t="shared" si="179"/>
        <v>19214.481650364</v>
      </c>
      <c r="AJ186" s="488">
        <f t="shared" si="180"/>
        <v>21349.424055959997</v>
      </c>
      <c r="AK186" s="488">
        <f t="shared" si="181"/>
        <v>23484.366461555997</v>
      </c>
      <c r="AL186" s="488">
        <f t="shared" si="182"/>
        <v>25619.308867151998</v>
      </c>
      <c r="AM186" s="488">
        <f t="shared" si="183"/>
        <v>27754.251272747999</v>
      </c>
      <c r="AN186" s="488">
        <f t="shared" si="184"/>
        <v>29889.193678344003</v>
      </c>
      <c r="AO186" s="488">
        <f t="shared" si="185"/>
        <v>32024.136083940008</v>
      </c>
      <c r="AP186" s="488">
        <f t="shared" si="186"/>
        <v>34159.078489536012</v>
      </c>
      <c r="AQ186" s="488">
        <f t="shared" si="187"/>
        <v>36294.020895132009</v>
      </c>
      <c r="AR186" s="488">
        <f t="shared" si="188"/>
        <v>38428.963300728014</v>
      </c>
      <c r="AS186" s="488">
        <f t="shared" si="189"/>
        <v>40563.905706324011</v>
      </c>
      <c r="AT186" s="488">
        <f t="shared" si="190"/>
        <v>42698.848111920008</v>
      </c>
      <c r="AU186" s="488"/>
      <c r="AV186" s="488"/>
      <c r="AW186" s="723"/>
      <c r="AX186" s="509" t="str">
        <f>B185&amp;"-"&amp;C185&amp;"-"&amp;E186</f>
        <v>HAC-cassava-beans-Reduced till</v>
      </c>
    </row>
    <row r="187" spans="1:50" x14ac:dyDescent="0.2">
      <c r="A187" s="436"/>
      <c r="B187" s="962"/>
      <c r="C187" s="951"/>
      <c r="D187" s="467"/>
      <c r="E187" s="474" t="str">
        <f t="shared" si="191"/>
        <v>No-till</v>
      </c>
      <c r="F187" s="488">
        <f t="shared" ref="F187:Y187" si="201">$F164</f>
        <v>0</v>
      </c>
      <c r="G187" s="488">
        <f t="shared" si="201"/>
        <v>0</v>
      </c>
      <c r="H187" s="488">
        <f t="shared" si="201"/>
        <v>0</v>
      </c>
      <c r="I187" s="488">
        <f t="shared" si="201"/>
        <v>0</v>
      </c>
      <c r="J187" s="488">
        <f t="shared" si="201"/>
        <v>0</v>
      </c>
      <c r="K187" s="488">
        <f t="shared" si="201"/>
        <v>0</v>
      </c>
      <c r="L187" s="488">
        <f t="shared" si="201"/>
        <v>0</v>
      </c>
      <c r="M187" s="488">
        <f t="shared" si="201"/>
        <v>0</v>
      </c>
      <c r="N187" s="488">
        <f t="shared" si="201"/>
        <v>0</v>
      </c>
      <c r="O187" s="488">
        <f t="shared" si="201"/>
        <v>0</v>
      </c>
      <c r="P187" s="488">
        <f t="shared" si="201"/>
        <v>0</v>
      </c>
      <c r="Q187" s="488">
        <f t="shared" si="201"/>
        <v>0</v>
      </c>
      <c r="R187" s="488">
        <f t="shared" si="201"/>
        <v>0</v>
      </c>
      <c r="S187" s="488">
        <f t="shared" si="201"/>
        <v>0</v>
      </c>
      <c r="T187" s="488">
        <f t="shared" si="201"/>
        <v>0</v>
      </c>
      <c r="U187" s="488">
        <f t="shared" si="201"/>
        <v>0</v>
      </c>
      <c r="V187" s="488">
        <f t="shared" si="201"/>
        <v>0</v>
      </c>
      <c r="W187" s="488">
        <f t="shared" si="201"/>
        <v>0</v>
      </c>
      <c r="X187" s="488">
        <f t="shared" si="201"/>
        <v>0</v>
      </c>
      <c r="Y187" s="488">
        <f t="shared" si="201"/>
        <v>0</v>
      </c>
      <c r="Z187" s="488">
        <f t="shared" si="170"/>
        <v>0</v>
      </c>
      <c r="AA187" s="488">
        <f t="shared" si="171"/>
        <v>2242.7677796160006</v>
      </c>
      <c r="AB187" s="488">
        <f t="shared" si="172"/>
        <v>4485.5355592320011</v>
      </c>
      <c r="AC187" s="488">
        <f t="shared" si="173"/>
        <v>6728.3033388480017</v>
      </c>
      <c r="AD187" s="488">
        <f t="shared" si="174"/>
        <v>8971.0711184640022</v>
      </c>
      <c r="AE187" s="488">
        <f t="shared" si="175"/>
        <v>11213.838898080001</v>
      </c>
      <c r="AF187" s="488">
        <f t="shared" si="176"/>
        <v>13456.606677696001</v>
      </c>
      <c r="AG187" s="488">
        <f t="shared" si="177"/>
        <v>15699.374457312</v>
      </c>
      <c r="AH187" s="488">
        <f t="shared" si="178"/>
        <v>17942.142236928001</v>
      </c>
      <c r="AI187" s="488">
        <f t="shared" si="179"/>
        <v>20184.910016544</v>
      </c>
      <c r="AJ187" s="488">
        <f t="shared" si="180"/>
        <v>22427.677796159998</v>
      </c>
      <c r="AK187" s="488">
        <f t="shared" si="181"/>
        <v>24670.445575776001</v>
      </c>
      <c r="AL187" s="488">
        <f t="shared" si="182"/>
        <v>26913.213355392003</v>
      </c>
      <c r="AM187" s="488">
        <f t="shared" si="183"/>
        <v>29155.981135008002</v>
      </c>
      <c r="AN187" s="488">
        <f t="shared" si="184"/>
        <v>31398.748914624004</v>
      </c>
      <c r="AO187" s="488">
        <f t="shared" si="185"/>
        <v>33641.51669424001</v>
      </c>
      <c r="AP187" s="488">
        <f t="shared" si="186"/>
        <v>35884.284473856016</v>
      </c>
      <c r="AQ187" s="488">
        <f t="shared" si="187"/>
        <v>38127.052253472015</v>
      </c>
      <c r="AR187" s="488">
        <f t="shared" si="188"/>
        <v>40369.820033088014</v>
      </c>
      <c r="AS187" s="488">
        <f t="shared" si="189"/>
        <v>42612.58781270402</v>
      </c>
      <c r="AT187" s="488">
        <f t="shared" si="190"/>
        <v>44855.355592320018</v>
      </c>
      <c r="AU187" s="488"/>
      <c r="AV187" s="488"/>
      <c r="AW187" s="723"/>
      <c r="AX187" s="509" t="str">
        <f>B185&amp;"-"&amp;C185&amp;"-"&amp;E187</f>
        <v>HAC-cassava-beans-No-till</v>
      </c>
    </row>
    <row r="188" spans="1:50" x14ac:dyDescent="0.2">
      <c r="A188" s="436"/>
      <c r="B188" s="962" t="str">
        <f t="shared" ref="B188:C188" si="202">B165</f>
        <v>VOL</v>
      </c>
      <c r="C188" s="951" t="str">
        <f t="shared" si="202"/>
        <v>vegetables</v>
      </c>
      <c r="D188" s="467">
        <f>D165</f>
        <v>4235.4000000000005</v>
      </c>
      <c r="E188" s="474" t="str">
        <f t="shared" si="191"/>
        <v>Full till</v>
      </c>
      <c r="F188" s="488">
        <f t="shared" ref="F188:Y188" si="203">$F165</f>
        <v>185086.98</v>
      </c>
      <c r="G188" s="488">
        <f t="shared" si="203"/>
        <v>185086.98</v>
      </c>
      <c r="H188" s="488">
        <f t="shared" si="203"/>
        <v>185086.98</v>
      </c>
      <c r="I188" s="488">
        <f t="shared" si="203"/>
        <v>185086.98</v>
      </c>
      <c r="J188" s="488">
        <f t="shared" si="203"/>
        <v>185086.98</v>
      </c>
      <c r="K188" s="488">
        <f t="shared" si="203"/>
        <v>185086.98</v>
      </c>
      <c r="L188" s="488">
        <f t="shared" si="203"/>
        <v>185086.98</v>
      </c>
      <c r="M188" s="488">
        <f t="shared" si="203"/>
        <v>185086.98</v>
      </c>
      <c r="N188" s="488">
        <f t="shared" si="203"/>
        <v>185086.98</v>
      </c>
      <c r="O188" s="488">
        <f t="shared" si="203"/>
        <v>185086.98</v>
      </c>
      <c r="P188" s="488">
        <f t="shared" si="203"/>
        <v>185086.98</v>
      </c>
      <c r="Q188" s="488">
        <f t="shared" si="203"/>
        <v>185086.98</v>
      </c>
      <c r="R188" s="488">
        <f t="shared" si="203"/>
        <v>185086.98</v>
      </c>
      <c r="S188" s="488">
        <f t="shared" si="203"/>
        <v>185086.98</v>
      </c>
      <c r="T188" s="488">
        <f t="shared" si="203"/>
        <v>185086.98</v>
      </c>
      <c r="U188" s="488">
        <f t="shared" si="203"/>
        <v>185086.98</v>
      </c>
      <c r="V188" s="488">
        <f t="shared" si="203"/>
        <v>185086.98</v>
      </c>
      <c r="W188" s="488">
        <f t="shared" si="203"/>
        <v>185086.98</v>
      </c>
      <c r="X188" s="488">
        <f t="shared" si="203"/>
        <v>185086.98</v>
      </c>
      <c r="Y188" s="488">
        <f t="shared" si="203"/>
        <v>185086.98</v>
      </c>
      <c r="Z188" s="488">
        <f t="shared" si="170"/>
        <v>185086.98</v>
      </c>
      <c r="AA188" s="488">
        <f t="shared" si="171"/>
        <v>180459.80549999999</v>
      </c>
      <c r="AB188" s="488">
        <f t="shared" si="172"/>
        <v>175832.63099999999</v>
      </c>
      <c r="AC188" s="488">
        <f t="shared" si="173"/>
        <v>171205.45650000003</v>
      </c>
      <c r="AD188" s="488">
        <f t="shared" si="174"/>
        <v>166578.28200000001</v>
      </c>
      <c r="AE188" s="488">
        <f t="shared" si="175"/>
        <v>161951.10750000001</v>
      </c>
      <c r="AF188" s="488">
        <f t="shared" si="176"/>
        <v>157323.93299999999</v>
      </c>
      <c r="AG188" s="488">
        <f t="shared" si="177"/>
        <v>152696.7585</v>
      </c>
      <c r="AH188" s="488">
        <f t="shared" si="178"/>
        <v>148069.584</v>
      </c>
      <c r="AI188" s="488">
        <f t="shared" si="179"/>
        <v>143442.40950000001</v>
      </c>
      <c r="AJ188" s="488">
        <f t="shared" si="180"/>
        <v>138815.23499999999</v>
      </c>
      <c r="AK188" s="488">
        <f t="shared" si="181"/>
        <v>134188.06050000002</v>
      </c>
      <c r="AL188" s="488">
        <f t="shared" si="182"/>
        <v>129560.886</v>
      </c>
      <c r="AM188" s="488">
        <f t="shared" si="183"/>
        <v>124933.7115</v>
      </c>
      <c r="AN188" s="488">
        <f t="shared" si="184"/>
        <v>120306.53699999998</v>
      </c>
      <c r="AO188" s="488">
        <f t="shared" si="185"/>
        <v>115679.3625</v>
      </c>
      <c r="AP188" s="488">
        <f t="shared" si="186"/>
        <v>111052.18799999998</v>
      </c>
      <c r="AQ188" s="488">
        <f t="shared" si="187"/>
        <v>106425.01349999999</v>
      </c>
      <c r="AR188" s="488">
        <f t="shared" si="188"/>
        <v>101797.83899999996</v>
      </c>
      <c r="AS188" s="488">
        <f t="shared" si="189"/>
        <v>97170.664499999999</v>
      </c>
      <c r="AT188" s="488">
        <f t="shared" si="190"/>
        <v>92543.489999999976</v>
      </c>
      <c r="AU188" s="488"/>
      <c r="AV188" s="488"/>
      <c r="AW188" s="723"/>
      <c r="AX188" s="509" t="str">
        <f>B188&amp;"-"&amp;C188&amp;"-"&amp;E188</f>
        <v>VOL-vegetables-Full till</v>
      </c>
    </row>
    <row r="189" spans="1:50" x14ac:dyDescent="0.2">
      <c r="A189" s="436"/>
      <c r="B189" s="962"/>
      <c r="C189" s="951"/>
      <c r="D189" s="467"/>
      <c r="E189" s="474" t="str">
        <f t="shared" si="191"/>
        <v>Reduced till</v>
      </c>
      <c r="F189" s="488">
        <f t="shared" ref="F189:Y189" si="204">$F166</f>
        <v>0</v>
      </c>
      <c r="G189" s="488">
        <f t="shared" si="204"/>
        <v>0</v>
      </c>
      <c r="H189" s="488">
        <f t="shared" si="204"/>
        <v>0</v>
      </c>
      <c r="I189" s="488">
        <f t="shared" si="204"/>
        <v>0</v>
      </c>
      <c r="J189" s="488">
        <f t="shared" si="204"/>
        <v>0</v>
      </c>
      <c r="K189" s="488">
        <f t="shared" si="204"/>
        <v>0</v>
      </c>
      <c r="L189" s="488">
        <f t="shared" si="204"/>
        <v>0</v>
      </c>
      <c r="M189" s="488">
        <f t="shared" si="204"/>
        <v>0</v>
      </c>
      <c r="N189" s="488">
        <f t="shared" si="204"/>
        <v>0</v>
      </c>
      <c r="O189" s="488">
        <f t="shared" si="204"/>
        <v>0</v>
      </c>
      <c r="P189" s="488">
        <f t="shared" si="204"/>
        <v>0</v>
      </c>
      <c r="Q189" s="488">
        <f t="shared" si="204"/>
        <v>0</v>
      </c>
      <c r="R189" s="488">
        <f t="shared" si="204"/>
        <v>0</v>
      </c>
      <c r="S189" s="488">
        <f t="shared" si="204"/>
        <v>0</v>
      </c>
      <c r="T189" s="488">
        <f t="shared" si="204"/>
        <v>0</v>
      </c>
      <c r="U189" s="488">
        <f t="shared" si="204"/>
        <v>0</v>
      </c>
      <c r="V189" s="488">
        <f t="shared" si="204"/>
        <v>0</v>
      </c>
      <c r="W189" s="488">
        <f t="shared" si="204"/>
        <v>0</v>
      </c>
      <c r="X189" s="488">
        <f t="shared" si="204"/>
        <v>0</v>
      </c>
      <c r="Y189" s="488">
        <f t="shared" si="204"/>
        <v>0</v>
      </c>
      <c r="Z189" s="488">
        <f t="shared" si="170"/>
        <v>0</v>
      </c>
      <c r="AA189" s="488">
        <f t="shared" si="171"/>
        <v>2507.4415080000008</v>
      </c>
      <c r="AB189" s="488">
        <f t="shared" si="172"/>
        <v>5014.8830160000016</v>
      </c>
      <c r="AC189" s="488">
        <f t="shared" si="173"/>
        <v>7522.3245240000024</v>
      </c>
      <c r="AD189" s="488">
        <f t="shared" si="174"/>
        <v>10029.766032000003</v>
      </c>
      <c r="AE189" s="488">
        <f t="shared" si="175"/>
        <v>12537.207540000003</v>
      </c>
      <c r="AF189" s="488">
        <f t="shared" si="176"/>
        <v>15044.649048000003</v>
      </c>
      <c r="AG189" s="488">
        <f t="shared" si="177"/>
        <v>17552.090556000003</v>
      </c>
      <c r="AH189" s="488">
        <f t="shared" si="178"/>
        <v>20059.532064000003</v>
      </c>
      <c r="AI189" s="488">
        <f t="shared" si="179"/>
        <v>22566.973572000003</v>
      </c>
      <c r="AJ189" s="488">
        <f t="shared" si="180"/>
        <v>25074.415079999999</v>
      </c>
      <c r="AK189" s="488">
        <f t="shared" si="181"/>
        <v>27581.856587999999</v>
      </c>
      <c r="AL189" s="488">
        <f t="shared" si="182"/>
        <v>30089.298096000006</v>
      </c>
      <c r="AM189" s="488">
        <f t="shared" si="183"/>
        <v>32596.739604000009</v>
      </c>
      <c r="AN189" s="488">
        <f t="shared" si="184"/>
        <v>35104.181112000013</v>
      </c>
      <c r="AO189" s="488">
        <f t="shared" si="185"/>
        <v>37611.622620000016</v>
      </c>
      <c r="AP189" s="488">
        <f t="shared" si="186"/>
        <v>40119.064128000013</v>
      </c>
      <c r="AQ189" s="488">
        <f t="shared" si="187"/>
        <v>42626.505636000024</v>
      </c>
      <c r="AR189" s="488">
        <f t="shared" si="188"/>
        <v>45133.94714400002</v>
      </c>
      <c r="AS189" s="488">
        <f t="shared" si="189"/>
        <v>47641.388652000023</v>
      </c>
      <c r="AT189" s="488">
        <f t="shared" si="190"/>
        <v>50148.83016000002</v>
      </c>
      <c r="AU189" s="488"/>
      <c r="AV189" s="488"/>
      <c r="AW189" s="723"/>
      <c r="AX189" s="509" t="str">
        <f>B188&amp;"-"&amp;C188&amp;"-"&amp;E189</f>
        <v>VOL-vegetables-Reduced till</v>
      </c>
    </row>
    <row r="190" spans="1:50" x14ac:dyDescent="0.2">
      <c r="A190" s="436"/>
      <c r="B190" s="962"/>
      <c r="C190" s="951"/>
      <c r="D190" s="467"/>
      <c r="E190" s="474" t="str">
        <f t="shared" si="191"/>
        <v>No-till</v>
      </c>
      <c r="F190" s="488">
        <f t="shared" ref="F190:Y190" si="205">$F167</f>
        <v>0</v>
      </c>
      <c r="G190" s="488">
        <f t="shared" si="205"/>
        <v>0</v>
      </c>
      <c r="H190" s="488">
        <f t="shared" si="205"/>
        <v>0</v>
      </c>
      <c r="I190" s="488">
        <f t="shared" si="205"/>
        <v>0</v>
      </c>
      <c r="J190" s="488">
        <f t="shared" si="205"/>
        <v>0</v>
      </c>
      <c r="K190" s="488">
        <f t="shared" si="205"/>
        <v>0</v>
      </c>
      <c r="L190" s="488">
        <f t="shared" si="205"/>
        <v>0</v>
      </c>
      <c r="M190" s="488">
        <f t="shared" si="205"/>
        <v>0</v>
      </c>
      <c r="N190" s="488">
        <f t="shared" si="205"/>
        <v>0</v>
      </c>
      <c r="O190" s="488">
        <f t="shared" si="205"/>
        <v>0</v>
      </c>
      <c r="P190" s="488">
        <f t="shared" si="205"/>
        <v>0</v>
      </c>
      <c r="Q190" s="488">
        <f t="shared" si="205"/>
        <v>0</v>
      </c>
      <c r="R190" s="488">
        <f t="shared" si="205"/>
        <v>0</v>
      </c>
      <c r="S190" s="488">
        <f t="shared" si="205"/>
        <v>0</v>
      </c>
      <c r="T190" s="488">
        <f t="shared" si="205"/>
        <v>0</v>
      </c>
      <c r="U190" s="488">
        <f t="shared" si="205"/>
        <v>0</v>
      </c>
      <c r="V190" s="488">
        <f t="shared" si="205"/>
        <v>0</v>
      </c>
      <c r="W190" s="488">
        <f t="shared" si="205"/>
        <v>0</v>
      </c>
      <c r="X190" s="488">
        <f t="shared" si="205"/>
        <v>0</v>
      </c>
      <c r="Y190" s="488">
        <f t="shared" si="205"/>
        <v>0</v>
      </c>
      <c r="Z190" s="488">
        <f t="shared" si="170"/>
        <v>0</v>
      </c>
      <c r="AA190" s="488">
        <f t="shared" si="171"/>
        <v>2634.0799680000009</v>
      </c>
      <c r="AB190" s="488">
        <f t="shared" si="172"/>
        <v>5268.1599360000018</v>
      </c>
      <c r="AC190" s="488">
        <f t="shared" si="173"/>
        <v>7902.2399040000028</v>
      </c>
      <c r="AD190" s="488">
        <f t="shared" si="174"/>
        <v>10536.319872000004</v>
      </c>
      <c r="AE190" s="488">
        <f t="shared" si="175"/>
        <v>13170.399840000004</v>
      </c>
      <c r="AF190" s="488">
        <f t="shared" si="176"/>
        <v>15804.479808000004</v>
      </c>
      <c r="AG190" s="488">
        <f t="shared" si="177"/>
        <v>18438.559776000002</v>
      </c>
      <c r="AH190" s="488">
        <f t="shared" si="178"/>
        <v>21072.639744000004</v>
      </c>
      <c r="AI190" s="488">
        <f t="shared" si="179"/>
        <v>23706.719712000002</v>
      </c>
      <c r="AJ190" s="488">
        <f t="shared" si="180"/>
        <v>26340.79968</v>
      </c>
      <c r="AK190" s="488">
        <f t="shared" si="181"/>
        <v>28974.879648000002</v>
      </c>
      <c r="AL190" s="488">
        <f t="shared" si="182"/>
        <v>31608.959616000007</v>
      </c>
      <c r="AM190" s="488">
        <f t="shared" si="183"/>
        <v>34243.039584000013</v>
      </c>
      <c r="AN190" s="488">
        <f t="shared" si="184"/>
        <v>36877.119552000011</v>
      </c>
      <c r="AO190" s="488">
        <f t="shared" si="185"/>
        <v>39511.199520000016</v>
      </c>
      <c r="AP190" s="488">
        <f t="shared" si="186"/>
        <v>42145.279488000015</v>
      </c>
      <c r="AQ190" s="488">
        <f t="shared" si="187"/>
        <v>44779.359456000027</v>
      </c>
      <c r="AR190" s="488">
        <f t="shared" si="188"/>
        <v>47413.439424000026</v>
      </c>
      <c r="AS190" s="488">
        <f t="shared" si="189"/>
        <v>50047.519392000031</v>
      </c>
      <c r="AT190" s="488">
        <f t="shared" si="190"/>
        <v>52681.599360000022</v>
      </c>
      <c r="AU190" s="488"/>
      <c r="AV190" s="488"/>
      <c r="AW190" s="723"/>
      <c r="AX190" s="509" t="str">
        <f>B188&amp;"-"&amp;C188&amp;"-"&amp;E190</f>
        <v>VOL-vegetables-No-till</v>
      </c>
    </row>
    <row r="191" spans="1:50" x14ac:dyDescent="0.2">
      <c r="A191" s="436"/>
      <c r="B191" s="962" t="str">
        <f t="shared" ref="B191:C191" si="206">B168</f>
        <v>VOL</v>
      </c>
      <c r="C191" s="951" t="str">
        <f t="shared" si="206"/>
        <v>cassava-beans</v>
      </c>
      <c r="D191" s="467">
        <f>D168</f>
        <v>1194.5999999999999</v>
      </c>
      <c r="E191" s="474" t="str">
        <f t="shared" si="191"/>
        <v>Full till</v>
      </c>
      <c r="F191" s="488">
        <f t="shared" ref="F191:T191" si="207">$F168</f>
        <v>52204.01999999999</v>
      </c>
      <c r="G191" s="488">
        <f t="shared" si="207"/>
        <v>52204.01999999999</v>
      </c>
      <c r="H191" s="488">
        <f t="shared" si="207"/>
        <v>52204.01999999999</v>
      </c>
      <c r="I191" s="488">
        <f t="shared" si="207"/>
        <v>52204.01999999999</v>
      </c>
      <c r="J191" s="488">
        <f t="shared" si="207"/>
        <v>52204.01999999999</v>
      </c>
      <c r="K191" s="488">
        <f t="shared" si="207"/>
        <v>52204.01999999999</v>
      </c>
      <c r="L191" s="488">
        <f t="shared" si="207"/>
        <v>52204.01999999999</v>
      </c>
      <c r="M191" s="488">
        <f t="shared" si="207"/>
        <v>52204.01999999999</v>
      </c>
      <c r="N191" s="488">
        <f t="shared" si="207"/>
        <v>52204.01999999999</v>
      </c>
      <c r="O191" s="488">
        <f t="shared" si="207"/>
        <v>52204.01999999999</v>
      </c>
      <c r="P191" s="488">
        <f t="shared" si="207"/>
        <v>52204.01999999999</v>
      </c>
      <c r="Q191" s="488">
        <f t="shared" si="207"/>
        <v>52204.01999999999</v>
      </c>
      <c r="R191" s="488">
        <f t="shared" si="207"/>
        <v>52204.01999999999</v>
      </c>
      <c r="S191" s="488">
        <f t="shared" si="207"/>
        <v>52204.01999999999</v>
      </c>
      <c r="T191" s="488">
        <f t="shared" si="207"/>
        <v>52204.01999999999</v>
      </c>
      <c r="U191" s="488">
        <f t="shared" ref="U191:Y191" si="208">$F168</f>
        <v>52204.01999999999</v>
      </c>
      <c r="V191" s="488">
        <f t="shared" si="208"/>
        <v>52204.01999999999</v>
      </c>
      <c r="W191" s="488">
        <f t="shared" si="208"/>
        <v>52204.01999999999</v>
      </c>
      <c r="X191" s="488">
        <f t="shared" si="208"/>
        <v>52204.01999999999</v>
      </c>
      <c r="Y191" s="488">
        <f t="shared" si="208"/>
        <v>52204.01999999999</v>
      </c>
      <c r="Z191" s="488">
        <f t="shared" si="170"/>
        <v>52204.01999999999</v>
      </c>
      <c r="AA191" s="488">
        <f t="shared" si="171"/>
        <v>50898.919499999989</v>
      </c>
      <c r="AB191" s="488">
        <f t="shared" si="172"/>
        <v>49593.818999999989</v>
      </c>
      <c r="AC191" s="488">
        <f t="shared" si="173"/>
        <v>48288.718499999988</v>
      </c>
      <c r="AD191" s="488">
        <f t="shared" si="174"/>
        <v>46983.617999999988</v>
      </c>
      <c r="AE191" s="488">
        <f t="shared" si="175"/>
        <v>45678.517499999987</v>
      </c>
      <c r="AF191" s="488">
        <f t="shared" si="176"/>
        <v>44373.416999999987</v>
      </c>
      <c r="AG191" s="488">
        <f t="shared" si="177"/>
        <v>43068.316499999986</v>
      </c>
      <c r="AH191" s="488">
        <f t="shared" si="178"/>
        <v>41763.215999999993</v>
      </c>
      <c r="AI191" s="488">
        <f t="shared" si="179"/>
        <v>40458.115499999993</v>
      </c>
      <c r="AJ191" s="488">
        <f t="shared" si="180"/>
        <v>39153.014999999992</v>
      </c>
      <c r="AK191" s="488">
        <f t="shared" si="181"/>
        <v>37847.914499999999</v>
      </c>
      <c r="AL191" s="488">
        <f t="shared" si="182"/>
        <v>36542.813999999991</v>
      </c>
      <c r="AM191" s="488">
        <f t="shared" si="183"/>
        <v>35237.713499999998</v>
      </c>
      <c r="AN191" s="488">
        <f t="shared" si="184"/>
        <v>33932.61299999999</v>
      </c>
      <c r="AO191" s="488">
        <f t="shared" si="185"/>
        <v>32627.512499999997</v>
      </c>
      <c r="AP191" s="488">
        <f t="shared" si="186"/>
        <v>31322.411999999986</v>
      </c>
      <c r="AQ191" s="488">
        <f t="shared" si="187"/>
        <v>30017.311499999993</v>
      </c>
      <c r="AR191" s="488">
        <f t="shared" si="188"/>
        <v>28712.210999999985</v>
      </c>
      <c r="AS191" s="488">
        <f t="shared" si="189"/>
        <v>27407.110499999992</v>
      </c>
      <c r="AT191" s="488">
        <f t="shared" si="190"/>
        <v>26102.009999999991</v>
      </c>
      <c r="AU191" s="488"/>
      <c r="AV191" s="488"/>
      <c r="AW191" s="723"/>
      <c r="AX191" s="509" t="str">
        <f>B191&amp;"-"&amp;C191&amp;"-"&amp;E191</f>
        <v>VOL-cassava-beans-Full till</v>
      </c>
    </row>
    <row r="192" spans="1:50" x14ac:dyDescent="0.2">
      <c r="A192" s="436"/>
      <c r="B192" s="962"/>
      <c r="C192" s="951"/>
      <c r="D192" s="467"/>
      <c r="E192" s="474" t="str">
        <f t="shared" si="191"/>
        <v>Reduced till</v>
      </c>
      <c r="F192" s="488">
        <f t="shared" ref="F192:T192" si="209">$F169</f>
        <v>0</v>
      </c>
      <c r="G192" s="488">
        <f t="shared" si="209"/>
        <v>0</v>
      </c>
      <c r="H192" s="488">
        <f t="shared" si="209"/>
        <v>0</v>
      </c>
      <c r="I192" s="488">
        <f t="shared" si="209"/>
        <v>0</v>
      </c>
      <c r="J192" s="488">
        <f t="shared" si="209"/>
        <v>0</v>
      </c>
      <c r="K192" s="488">
        <f t="shared" si="209"/>
        <v>0</v>
      </c>
      <c r="L192" s="488">
        <f t="shared" si="209"/>
        <v>0</v>
      </c>
      <c r="M192" s="488">
        <f t="shared" si="209"/>
        <v>0</v>
      </c>
      <c r="N192" s="488">
        <f t="shared" si="209"/>
        <v>0</v>
      </c>
      <c r="O192" s="488">
        <f t="shared" si="209"/>
        <v>0</v>
      </c>
      <c r="P192" s="488">
        <f t="shared" si="209"/>
        <v>0</v>
      </c>
      <c r="Q192" s="488">
        <f t="shared" si="209"/>
        <v>0</v>
      </c>
      <c r="R192" s="488">
        <f t="shared" si="209"/>
        <v>0</v>
      </c>
      <c r="S192" s="488">
        <f t="shared" si="209"/>
        <v>0</v>
      </c>
      <c r="T192" s="488">
        <f t="shared" si="209"/>
        <v>0</v>
      </c>
      <c r="U192" s="488">
        <f t="shared" ref="U192:Y196" si="210">$F169</f>
        <v>0</v>
      </c>
      <c r="V192" s="488">
        <f t="shared" si="210"/>
        <v>0</v>
      </c>
      <c r="W192" s="488">
        <f t="shared" si="210"/>
        <v>0</v>
      </c>
      <c r="X192" s="488">
        <f t="shared" si="210"/>
        <v>0</v>
      </c>
      <c r="Y192" s="488">
        <f t="shared" si="210"/>
        <v>0</v>
      </c>
      <c r="Z192" s="488">
        <f t="shared" si="170"/>
        <v>0</v>
      </c>
      <c r="AA192" s="488">
        <f t="shared" si="171"/>
        <v>707.22709199999997</v>
      </c>
      <c r="AB192" s="488">
        <f t="shared" si="172"/>
        <v>1414.4541839999999</v>
      </c>
      <c r="AC192" s="488">
        <f t="shared" si="173"/>
        <v>2121.6812760000003</v>
      </c>
      <c r="AD192" s="488">
        <f t="shared" si="174"/>
        <v>2828.9083679999999</v>
      </c>
      <c r="AE192" s="488">
        <f t="shared" si="175"/>
        <v>3536.13546</v>
      </c>
      <c r="AF192" s="488">
        <f t="shared" si="176"/>
        <v>4243.3625519999996</v>
      </c>
      <c r="AG192" s="488">
        <f t="shared" si="177"/>
        <v>4950.5896439999997</v>
      </c>
      <c r="AH192" s="488">
        <f t="shared" si="178"/>
        <v>5657.8167359999998</v>
      </c>
      <c r="AI192" s="488">
        <f t="shared" si="179"/>
        <v>6365.0438279999998</v>
      </c>
      <c r="AJ192" s="488">
        <f t="shared" si="180"/>
        <v>7072.2709199999981</v>
      </c>
      <c r="AK192" s="488">
        <f t="shared" si="181"/>
        <v>7779.4980119999991</v>
      </c>
      <c r="AL192" s="488">
        <f t="shared" si="182"/>
        <v>8486.7251039999992</v>
      </c>
      <c r="AM192" s="488">
        <f t="shared" si="183"/>
        <v>9193.9521960000002</v>
      </c>
      <c r="AN192" s="488">
        <f t="shared" si="184"/>
        <v>9901.1792880000012</v>
      </c>
      <c r="AO192" s="488">
        <f t="shared" si="185"/>
        <v>10608.40638</v>
      </c>
      <c r="AP192" s="488">
        <f t="shared" si="186"/>
        <v>11315.633472000001</v>
      </c>
      <c r="AQ192" s="488">
        <f t="shared" si="187"/>
        <v>12022.860564000002</v>
      </c>
      <c r="AR192" s="488">
        <f t="shared" si="188"/>
        <v>12730.087656000002</v>
      </c>
      <c r="AS192" s="488">
        <f t="shared" si="189"/>
        <v>13437.314748000004</v>
      </c>
      <c r="AT192" s="488">
        <f t="shared" si="190"/>
        <v>14144.541840000002</v>
      </c>
      <c r="AU192" s="488"/>
      <c r="AV192" s="488"/>
      <c r="AW192" s="723"/>
      <c r="AX192" s="509" t="str">
        <f>B191&amp;"-"&amp;C191&amp;"-"&amp;E192</f>
        <v>VOL-cassava-beans-Reduced till</v>
      </c>
    </row>
    <row r="193" spans="1:50" x14ac:dyDescent="0.2">
      <c r="A193" s="436"/>
      <c r="B193" s="962"/>
      <c r="C193" s="951"/>
      <c r="D193" s="467"/>
      <c r="E193" s="474" t="str">
        <f t="shared" si="191"/>
        <v>No-till</v>
      </c>
      <c r="F193" s="488">
        <f t="shared" ref="F193:T193" si="211">$F170</f>
        <v>0</v>
      </c>
      <c r="G193" s="488">
        <f t="shared" si="211"/>
        <v>0</v>
      </c>
      <c r="H193" s="488">
        <f t="shared" si="211"/>
        <v>0</v>
      </c>
      <c r="I193" s="488">
        <f t="shared" si="211"/>
        <v>0</v>
      </c>
      <c r="J193" s="488">
        <f t="shared" si="211"/>
        <v>0</v>
      </c>
      <c r="K193" s="488">
        <f t="shared" si="211"/>
        <v>0</v>
      </c>
      <c r="L193" s="488">
        <f t="shared" si="211"/>
        <v>0</v>
      </c>
      <c r="M193" s="488">
        <f t="shared" si="211"/>
        <v>0</v>
      </c>
      <c r="N193" s="488">
        <f t="shared" si="211"/>
        <v>0</v>
      </c>
      <c r="O193" s="488">
        <f t="shared" si="211"/>
        <v>0</v>
      </c>
      <c r="P193" s="488">
        <f t="shared" si="211"/>
        <v>0</v>
      </c>
      <c r="Q193" s="488">
        <f t="shared" si="211"/>
        <v>0</v>
      </c>
      <c r="R193" s="488">
        <f t="shared" si="211"/>
        <v>0</v>
      </c>
      <c r="S193" s="488">
        <f t="shared" si="211"/>
        <v>0</v>
      </c>
      <c r="T193" s="488">
        <f t="shared" si="211"/>
        <v>0</v>
      </c>
      <c r="U193" s="488">
        <f t="shared" si="210"/>
        <v>0</v>
      </c>
      <c r="V193" s="488">
        <f t="shared" si="210"/>
        <v>0</v>
      </c>
      <c r="W193" s="488">
        <f t="shared" si="210"/>
        <v>0</v>
      </c>
      <c r="X193" s="488">
        <f t="shared" si="210"/>
        <v>0</v>
      </c>
      <c r="Y193" s="488">
        <f t="shared" si="210"/>
        <v>0</v>
      </c>
      <c r="Z193" s="488">
        <f t="shared" si="170"/>
        <v>0</v>
      </c>
      <c r="AA193" s="488">
        <f t="shared" si="171"/>
        <v>742.94563200000005</v>
      </c>
      <c r="AB193" s="488">
        <f t="shared" si="172"/>
        <v>1485.8912640000001</v>
      </c>
      <c r="AC193" s="488">
        <f t="shared" si="173"/>
        <v>2228.8368960000007</v>
      </c>
      <c r="AD193" s="488">
        <f t="shared" si="174"/>
        <v>2971.7825280000002</v>
      </c>
      <c r="AE193" s="488">
        <f t="shared" si="175"/>
        <v>3714.7281600000001</v>
      </c>
      <c r="AF193" s="488">
        <f t="shared" si="176"/>
        <v>4457.6737919999996</v>
      </c>
      <c r="AG193" s="488">
        <f t="shared" si="177"/>
        <v>5200.6194240000004</v>
      </c>
      <c r="AH193" s="488">
        <f t="shared" si="178"/>
        <v>5943.5650559999995</v>
      </c>
      <c r="AI193" s="488">
        <f t="shared" si="179"/>
        <v>6686.5106880000003</v>
      </c>
      <c r="AJ193" s="488">
        <f t="shared" si="180"/>
        <v>7429.4563199999993</v>
      </c>
      <c r="AK193" s="488">
        <f t="shared" si="181"/>
        <v>8172.4019519999993</v>
      </c>
      <c r="AL193" s="488">
        <f t="shared" si="182"/>
        <v>8915.3475839999992</v>
      </c>
      <c r="AM193" s="488">
        <f t="shared" si="183"/>
        <v>9658.2932160000018</v>
      </c>
      <c r="AN193" s="488">
        <f t="shared" si="184"/>
        <v>10401.238848000001</v>
      </c>
      <c r="AO193" s="488">
        <f t="shared" si="185"/>
        <v>11144.184480000002</v>
      </c>
      <c r="AP193" s="488">
        <f t="shared" si="186"/>
        <v>11887.130112000003</v>
      </c>
      <c r="AQ193" s="488">
        <f t="shared" si="187"/>
        <v>12630.075744000003</v>
      </c>
      <c r="AR193" s="488">
        <f t="shared" si="188"/>
        <v>13373.021376000002</v>
      </c>
      <c r="AS193" s="488">
        <f t="shared" si="189"/>
        <v>14115.967008000005</v>
      </c>
      <c r="AT193" s="488">
        <f t="shared" si="190"/>
        <v>14858.912640000004</v>
      </c>
      <c r="AU193" s="488"/>
      <c r="AV193" s="488"/>
      <c r="AW193" s="723"/>
      <c r="AX193" s="509" t="str">
        <f>B191&amp;"-"&amp;C191&amp;"-"&amp;E193</f>
        <v>VOL-cassava-beans-No-till</v>
      </c>
    </row>
    <row r="194" spans="1:50" x14ac:dyDescent="0.2">
      <c r="A194" s="436"/>
      <c r="B194" s="962" t="str">
        <f t="shared" ref="B194:C194" si="212">B171</f>
        <v>LAC</v>
      </c>
      <c r="C194" s="951" t="str">
        <f t="shared" si="212"/>
        <v>wheat</v>
      </c>
      <c r="D194" s="467">
        <f>D171</f>
        <v>2309</v>
      </c>
      <c r="E194" s="474" t="str">
        <f t="shared" si="191"/>
        <v>Full till</v>
      </c>
      <c r="F194" s="488">
        <f t="shared" ref="F194:T194" si="213">$F171</f>
        <v>38343.253999999994</v>
      </c>
      <c r="G194" s="488">
        <f t="shared" si="213"/>
        <v>38343.253999999994</v>
      </c>
      <c r="H194" s="488">
        <f t="shared" si="213"/>
        <v>38343.253999999994</v>
      </c>
      <c r="I194" s="488">
        <f t="shared" si="213"/>
        <v>38343.253999999994</v>
      </c>
      <c r="J194" s="488">
        <f t="shared" si="213"/>
        <v>38343.253999999994</v>
      </c>
      <c r="K194" s="488">
        <f t="shared" si="213"/>
        <v>38343.253999999994</v>
      </c>
      <c r="L194" s="488">
        <f t="shared" si="213"/>
        <v>38343.253999999994</v>
      </c>
      <c r="M194" s="488">
        <f t="shared" si="213"/>
        <v>38343.253999999994</v>
      </c>
      <c r="N194" s="488">
        <f t="shared" si="213"/>
        <v>38343.253999999994</v>
      </c>
      <c r="O194" s="488">
        <f t="shared" si="213"/>
        <v>38343.253999999994</v>
      </c>
      <c r="P194" s="488">
        <f t="shared" si="213"/>
        <v>38343.253999999994</v>
      </c>
      <c r="Q194" s="488">
        <f t="shared" si="213"/>
        <v>38343.253999999994</v>
      </c>
      <c r="R194" s="488">
        <f t="shared" si="213"/>
        <v>38343.253999999994</v>
      </c>
      <c r="S194" s="488">
        <f t="shared" si="213"/>
        <v>38343.253999999994</v>
      </c>
      <c r="T194" s="488">
        <f t="shared" si="213"/>
        <v>38343.253999999994</v>
      </c>
      <c r="U194" s="488">
        <f t="shared" si="210"/>
        <v>38343.253999999994</v>
      </c>
      <c r="V194" s="488">
        <f t="shared" si="210"/>
        <v>38343.253999999994</v>
      </c>
      <c r="W194" s="488">
        <f t="shared" si="210"/>
        <v>38343.253999999994</v>
      </c>
      <c r="X194" s="488">
        <f t="shared" si="210"/>
        <v>38343.253999999994</v>
      </c>
      <c r="Y194" s="488">
        <f t="shared" si="210"/>
        <v>38343.253999999994</v>
      </c>
      <c r="Z194" s="488">
        <f t="shared" si="170"/>
        <v>38343.253999999994</v>
      </c>
      <c r="AA194" s="488">
        <f t="shared" si="171"/>
        <v>37384.67265</v>
      </c>
      <c r="AB194" s="488">
        <f t="shared" si="172"/>
        <v>36426.091299999993</v>
      </c>
      <c r="AC194" s="488">
        <f t="shared" si="173"/>
        <v>35467.50995</v>
      </c>
      <c r="AD194" s="488">
        <f t="shared" si="174"/>
        <v>34508.928599999992</v>
      </c>
      <c r="AE194" s="488">
        <f t="shared" si="175"/>
        <v>33550.347249999999</v>
      </c>
      <c r="AF194" s="488">
        <f t="shared" si="176"/>
        <v>32591.765899999995</v>
      </c>
      <c r="AG194" s="488">
        <f t="shared" si="177"/>
        <v>31633.184549999994</v>
      </c>
      <c r="AH194" s="488">
        <f t="shared" si="178"/>
        <v>30674.603199999998</v>
      </c>
      <c r="AI194" s="488">
        <f t="shared" si="179"/>
        <v>29716.021849999997</v>
      </c>
      <c r="AJ194" s="488">
        <f t="shared" si="180"/>
        <v>28757.440499999997</v>
      </c>
      <c r="AK194" s="488">
        <f t="shared" si="181"/>
        <v>27798.859150000004</v>
      </c>
      <c r="AL194" s="488">
        <f t="shared" si="182"/>
        <v>26840.277799999996</v>
      </c>
      <c r="AM194" s="488">
        <f t="shared" si="183"/>
        <v>25881.696449999999</v>
      </c>
      <c r="AN194" s="488">
        <f t="shared" si="184"/>
        <v>24923.115099999992</v>
      </c>
      <c r="AO194" s="488">
        <f t="shared" si="185"/>
        <v>23964.533749999999</v>
      </c>
      <c r="AP194" s="488">
        <f t="shared" si="186"/>
        <v>23005.952399999991</v>
      </c>
      <c r="AQ194" s="488">
        <f t="shared" si="187"/>
        <v>22047.371049999998</v>
      </c>
      <c r="AR194" s="488">
        <f t="shared" si="188"/>
        <v>21088.78969999999</v>
      </c>
      <c r="AS194" s="488">
        <f t="shared" si="189"/>
        <v>20130.208349999994</v>
      </c>
      <c r="AT194" s="488">
        <f t="shared" si="190"/>
        <v>19171.626999999993</v>
      </c>
      <c r="AU194" s="488"/>
      <c r="AV194" s="488"/>
      <c r="AW194" s="723"/>
      <c r="AX194" s="509" t="str">
        <f>B194&amp;"-"&amp;C194&amp;"-"&amp;E194</f>
        <v>LAC-wheat-Full till</v>
      </c>
    </row>
    <row r="195" spans="1:50" x14ac:dyDescent="0.2">
      <c r="A195" s="436"/>
      <c r="B195" s="962"/>
      <c r="C195" s="951"/>
      <c r="D195" s="467"/>
      <c r="E195" s="474" t="str">
        <f t="shared" si="191"/>
        <v>Reduced till</v>
      </c>
      <c r="F195" s="488">
        <f t="shared" ref="F195:T195" si="214">$F172</f>
        <v>0</v>
      </c>
      <c r="G195" s="488">
        <f t="shared" si="214"/>
        <v>0</v>
      </c>
      <c r="H195" s="488">
        <f t="shared" si="214"/>
        <v>0</v>
      </c>
      <c r="I195" s="488">
        <f t="shared" si="214"/>
        <v>0</v>
      </c>
      <c r="J195" s="488">
        <f t="shared" si="214"/>
        <v>0</v>
      </c>
      <c r="K195" s="488">
        <f t="shared" si="214"/>
        <v>0</v>
      </c>
      <c r="L195" s="488">
        <f t="shared" si="214"/>
        <v>0</v>
      </c>
      <c r="M195" s="488">
        <f t="shared" si="214"/>
        <v>0</v>
      </c>
      <c r="N195" s="488">
        <f t="shared" si="214"/>
        <v>0</v>
      </c>
      <c r="O195" s="488">
        <f t="shared" si="214"/>
        <v>0</v>
      </c>
      <c r="P195" s="488">
        <f t="shared" si="214"/>
        <v>0</v>
      </c>
      <c r="Q195" s="488">
        <f t="shared" si="214"/>
        <v>0</v>
      </c>
      <c r="R195" s="488">
        <f t="shared" si="214"/>
        <v>0</v>
      </c>
      <c r="S195" s="488">
        <f t="shared" si="214"/>
        <v>0</v>
      </c>
      <c r="T195" s="488">
        <f t="shared" si="214"/>
        <v>0</v>
      </c>
      <c r="U195" s="488">
        <f t="shared" si="210"/>
        <v>0</v>
      </c>
      <c r="V195" s="488">
        <f t="shared" si="210"/>
        <v>0</v>
      </c>
      <c r="W195" s="488">
        <f t="shared" si="210"/>
        <v>0</v>
      </c>
      <c r="X195" s="488">
        <f t="shared" si="210"/>
        <v>0</v>
      </c>
      <c r="Y195" s="488">
        <f t="shared" si="210"/>
        <v>0</v>
      </c>
      <c r="Z195" s="488">
        <f t="shared" si="170"/>
        <v>0</v>
      </c>
      <c r="AA195" s="488">
        <f t="shared" si="171"/>
        <v>519.4501884</v>
      </c>
      <c r="AB195" s="488">
        <f t="shared" si="172"/>
        <v>1038.9003768</v>
      </c>
      <c r="AC195" s="488">
        <f t="shared" si="173"/>
        <v>1558.3505652000003</v>
      </c>
      <c r="AD195" s="488">
        <f t="shared" si="174"/>
        <v>2077.8007536</v>
      </c>
      <c r="AE195" s="488">
        <f t="shared" si="175"/>
        <v>2597.2509420000001</v>
      </c>
      <c r="AF195" s="488">
        <f t="shared" si="176"/>
        <v>3116.7011303999998</v>
      </c>
      <c r="AG195" s="488">
        <f t="shared" si="177"/>
        <v>3636.1513187999999</v>
      </c>
      <c r="AH195" s="488">
        <f t="shared" si="178"/>
        <v>4155.6015072</v>
      </c>
      <c r="AI195" s="488">
        <f t="shared" si="179"/>
        <v>4675.0516956000001</v>
      </c>
      <c r="AJ195" s="488">
        <f t="shared" si="180"/>
        <v>5194.5018839999993</v>
      </c>
      <c r="AK195" s="488">
        <f t="shared" si="181"/>
        <v>5713.9520723999995</v>
      </c>
      <c r="AL195" s="488">
        <f t="shared" si="182"/>
        <v>6233.4022607999996</v>
      </c>
      <c r="AM195" s="488">
        <f t="shared" si="183"/>
        <v>6752.8524492000006</v>
      </c>
      <c r="AN195" s="488">
        <f t="shared" si="184"/>
        <v>7272.3026376000007</v>
      </c>
      <c r="AO195" s="488">
        <f t="shared" si="185"/>
        <v>7791.7528260000008</v>
      </c>
      <c r="AP195" s="488">
        <f t="shared" si="186"/>
        <v>8311.2030144000018</v>
      </c>
      <c r="AQ195" s="488">
        <f t="shared" si="187"/>
        <v>8830.653202800002</v>
      </c>
      <c r="AR195" s="488">
        <f t="shared" si="188"/>
        <v>9350.1033912000021</v>
      </c>
      <c r="AS195" s="488">
        <f t="shared" si="189"/>
        <v>9869.5535796000022</v>
      </c>
      <c r="AT195" s="488">
        <f t="shared" si="190"/>
        <v>10389.003768000002</v>
      </c>
      <c r="AU195" s="488"/>
      <c r="AV195" s="488"/>
      <c r="AW195" s="723"/>
      <c r="AX195" s="509" t="str">
        <f>B194&amp;"-"&amp;C194&amp;"-"&amp;E195</f>
        <v>LAC-wheat-Reduced till</v>
      </c>
    </row>
    <row r="196" spans="1:50" x14ac:dyDescent="0.2">
      <c r="A196" s="436"/>
      <c r="B196" s="962"/>
      <c r="C196" s="951"/>
      <c r="D196" s="467"/>
      <c r="E196" s="474" t="str">
        <f t="shared" si="191"/>
        <v>No-till</v>
      </c>
      <c r="F196" s="488">
        <f t="shared" ref="F196:T196" si="215">$F173</f>
        <v>0</v>
      </c>
      <c r="G196" s="488">
        <f t="shared" si="215"/>
        <v>0</v>
      </c>
      <c r="H196" s="488">
        <f t="shared" si="215"/>
        <v>0</v>
      </c>
      <c r="I196" s="488">
        <f t="shared" si="215"/>
        <v>0</v>
      </c>
      <c r="J196" s="488">
        <f t="shared" si="215"/>
        <v>0</v>
      </c>
      <c r="K196" s="488">
        <f t="shared" si="215"/>
        <v>0</v>
      </c>
      <c r="L196" s="488">
        <f t="shared" si="215"/>
        <v>0</v>
      </c>
      <c r="M196" s="488">
        <f t="shared" si="215"/>
        <v>0</v>
      </c>
      <c r="N196" s="488">
        <f t="shared" si="215"/>
        <v>0</v>
      </c>
      <c r="O196" s="488">
        <f t="shared" si="215"/>
        <v>0</v>
      </c>
      <c r="P196" s="488">
        <f t="shared" si="215"/>
        <v>0</v>
      </c>
      <c r="Q196" s="488">
        <f t="shared" si="215"/>
        <v>0</v>
      </c>
      <c r="R196" s="488">
        <f t="shared" si="215"/>
        <v>0</v>
      </c>
      <c r="S196" s="488">
        <f t="shared" si="215"/>
        <v>0</v>
      </c>
      <c r="T196" s="488">
        <f t="shared" si="215"/>
        <v>0</v>
      </c>
      <c r="U196" s="488">
        <f t="shared" si="210"/>
        <v>0</v>
      </c>
      <c r="V196" s="488">
        <f t="shared" si="210"/>
        <v>0</v>
      </c>
      <c r="W196" s="488">
        <f t="shared" si="210"/>
        <v>0</v>
      </c>
      <c r="X196" s="488">
        <f t="shared" si="210"/>
        <v>0</v>
      </c>
      <c r="Y196" s="488">
        <f t="shared" si="210"/>
        <v>0</v>
      </c>
      <c r="Z196" s="488">
        <f t="shared" si="170"/>
        <v>0</v>
      </c>
      <c r="AA196" s="488">
        <f t="shared" si="171"/>
        <v>545.68504640000015</v>
      </c>
      <c r="AB196" s="488">
        <f t="shared" si="172"/>
        <v>1091.3700928000003</v>
      </c>
      <c r="AC196" s="488">
        <f t="shared" si="173"/>
        <v>1637.0551392000007</v>
      </c>
      <c r="AD196" s="488">
        <f t="shared" si="174"/>
        <v>2182.7401856000006</v>
      </c>
      <c r="AE196" s="488">
        <f t="shared" si="175"/>
        <v>2728.4252320000005</v>
      </c>
      <c r="AF196" s="488">
        <f t="shared" si="176"/>
        <v>3274.1102784000004</v>
      </c>
      <c r="AG196" s="488">
        <f t="shared" si="177"/>
        <v>3819.7953248000008</v>
      </c>
      <c r="AH196" s="488">
        <f t="shared" si="178"/>
        <v>4365.4803712000003</v>
      </c>
      <c r="AI196" s="488">
        <f t="shared" si="179"/>
        <v>4911.1654176000011</v>
      </c>
      <c r="AJ196" s="488">
        <f t="shared" si="180"/>
        <v>5456.8504640000001</v>
      </c>
      <c r="AK196" s="488">
        <f t="shared" si="181"/>
        <v>6002.5355104</v>
      </c>
      <c r="AL196" s="488">
        <f t="shared" si="182"/>
        <v>6548.2205568000008</v>
      </c>
      <c r="AM196" s="488">
        <f t="shared" si="183"/>
        <v>7093.9056032000026</v>
      </c>
      <c r="AN196" s="488">
        <f t="shared" si="184"/>
        <v>7639.5906496000025</v>
      </c>
      <c r="AO196" s="488">
        <f t="shared" si="185"/>
        <v>8185.2756960000024</v>
      </c>
      <c r="AP196" s="488">
        <f t="shared" si="186"/>
        <v>8730.9607424000023</v>
      </c>
      <c r="AQ196" s="488">
        <f t="shared" si="187"/>
        <v>9276.6457888000041</v>
      </c>
      <c r="AR196" s="488">
        <f t="shared" si="188"/>
        <v>9822.330835200004</v>
      </c>
      <c r="AS196" s="488">
        <f t="shared" si="189"/>
        <v>10368.015881600006</v>
      </c>
      <c r="AT196" s="488">
        <f t="shared" si="190"/>
        <v>10913.700928000004</v>
      </c>
      <c r="AU196" s="488"/>
      <c r="AV196" s="488"/>
      <c r="AW196" s="723"/>
      <c r="AX196" s="509" t="str">
        <f>B194&amp;"-"&amp;C194&amp;"-"&amp;E196</f>
        <v>LAC-wheat-No-till</v>
      </c>
    </row>
    <row r="197" spans="1:50" ht="17" thickBot="1" x14ac:dyDescent="0.25">
      <c r="A197" s="436"/>
      <c r="B197" s="718"/>
      <c r="C197" s="719"/>
      <c r="D197" s="719"/>
      <c r="E197" s="784" t="s">
        <v>420</v>
      </c>
      <c r="F197" s="785">
        <f>SUM(F179:F196)</f>
        <v>1202639.7319999998</v>
      </c>
      <c r="G197" s="785">
        <f t="shared" ref="G197:AT197" si="216">SUM(G179:G196)</f>
        <v>1202639.7319999998</v>
      </c>
      <c r="H197" s="785">
        <f t="shared" si="216"/>
        <v>1202639.7319999998</v>
      </c>
      <c r="I197" s="785">
        <f t="shared" si="216"/>
        <v>1202639.7319999998</v>
      </c>
      <c r="J197" s="785">
        <f t="shared" si="216"/>
        <v>1202639.7319999998</v>
      </c>
      <c r="K197" s="785">
        <f t="shared" si="216"/>
        <v>1202639.7319999998</v>
      </c>
      <c r="L197" s="785">
        <f t="shared" si="216"/>
        <v>1202639.7319999998</v>
      </c>
      <c r="M197" s="785">
        <f t="shared" si="216"/>
        <v>1202639.7319999998</v>
      </c>
      <c r="N197" s="785">
        <f t="shared" si="216"/>
        <v>1202639.7319999998</v>
      </c>
      <c r="O197" s="785">
        <f t="shared" si="216"/>
        <v>1202639.7319999998</v>
      </c>
      <c r="P197" s="785">
        <f t="shared" si="216"/>
        <v>1202639.7319999998</v>
      </c>
      <c r="Q197" s="785">
        <f t="shared" si="216"/>
        <v>1202639.7319999998</v>
      </c>
      <c r="R197" s="785">
        <f t="shared" si="216"/>
        <v>1202639.7319999998</v>
      </c>
      <c r="S197" s="785">
        <f t="shared" si="216"/>
        <v>1202639.7319999998</v>
      </c>
      <c r="T197" s="785">
        <f t="shared" si="216"/>
        <v>1202639.7319999998</v>
      </c>
      <c r="U197" s="785">
        <f t="shared" si="216"/>
        <v>1202639.7319999998</v>
      </c>
      <c r="V197" s="785">
        <f t="shared" si="216"/>
        <v>1202639.7319999998</v>
      </c>
      <c r="W197" s="785">
        <f t="shared" si="216"/>
        <v>1202639.7319999998</v>
      </c>
      <c r="X197" s="785">
        <f t="shared" si="216"/>
        <v>1202639.7319999998</v>
      </c>
      <c r="Y197" s="785">
        <f t="shared" si="216"/>
        <v>1202639.7319999998</v>
      </c>
      <c r="Z197" s="785">
        <f t="shared" si="216"/>
        <v>1202639.7319999998</v>
      </c>
      <c r="AA197" s="785">
        <f t="shared" si="216"/>
        <v>1207110.0092169358</v>
      </c>
      <c r="AB197" s="785">
        <f t="shared" si="216"/>
        <v>1211580.2864338709</v>
      </c>
      <c r="AC197" s="785">
        <f t="shared" si="216"/>
        <v>1216050.5636508069</v>
      </c>
      <c r="AD197" s="785">
        <f t="shared" si="216"/>
        <v>1220520.8408677424</v>
      </c>
      <c r="AE197" s="785">
        <f t="shared" si="216"/>
        <v>1224991.1180846782</v>
      </c>
      <c r="AF197" s="785">
        <f t="shared" si="216"/>
        <v>1229461.3953016133</v>
      </c>
      <c r="AG197" s="785">
        <f t="shared" si="216"/>
        <v>1233931.6725185488</v>
      </c>
      <c r="AH197" s="785">
        <f t="shared" si="216"/>
        <v>1238401.9497354843</v>
      </c>
      <c r="AI197" s="785">
        <f t="shared" si="216"/>
        <v>1242872.2269524203</v>
      </c>
      <c r="AJ197" s="785">
        <f t="shared" si="216"/>
        <v>1247342.5041693556</v>
      </c>
      <c r="AK197" s="785">
        <f t="shared" si="216"/>
        <v>1251812.7813862916</v>
      </c>
      <c r="AL197" s="785">
        <f t="shared" si="216"/>
        <v>1256283.0586032271</v>
      </c>
      <c r="AM197" s="785">
        <f t="shared" si="216"/>
        <v>1260753.3358201631</v>
      </c>
      <c r="AN197" s="785">
        <f t="shared" si="216"/>
        <v>1265223.6130370984</v>
      </c>
      <c r="AO197" s="785">
        <f t="shared" si="216"/>
        <v>1269693.8902540342</v>
      </c>
      <c r="AP197" s="785">
        <f t="shared" si="216"/>
        <v>1274164.16747097</v>
      </c>
      <c r="AQ197" s="785">
        <f t="shared" si="216"/>
        <v>1278634.4446879053</v>
      </c>
      <c r="AR197" s="785">
        <f t="shared" si="216"/>
        <v>1283104.7219048406</v>
      </c>
      <c r="AS197" s="785">
        <f t="shared" si="216"/>
        <v>1287574.9991217768</v>
      </c>
      <c r="AT197" s="785">
        <f t="shared" si="216"/>
        <v>1292045.2763387125</v>
      </c>
      <c r="AU197" s="720"/>
      <c r="AV197" s="720"/>
      <c r="AW197" s="727"/>
    </row>
    <row r="198" spans="1:50" x14ac:dyDescent="0.2">
      <c r="A198" s="436"/>
      <c r="B198" s="436"/>
      <c r="C198" s="436"/>
      <c r="D198" s="436"/>
      <c r="E198" s="490"/>
      <c r="F198" s="491"/>
      <c r="G198" s="491"/>
      <c r="H198" s="491"/>
      <c r="I198" s="491"/>
      <c r="J198" s="491"/>
      <c r="K198" s="491"/>
      <c r="L198" s="491"/>
      <c r="M198" s="491"/>
      <c r="N198" s="491"/>
      <c r="O198" s="491"/>
      <c r="P198" s="491"/>
      <c r="Q198" s="491"/>
      <c r="R198" s="491"/>
      <c r="S198" s="491"/>
      <c r="T198" s="491"/>
      <c r="U198" s="491"/>
      <c r="V198" s="491"/>
      <c r="W198" s="491"/>
      <c r="X198" s="491"/>
      <c r="Y198" s="491"/>
      <c r="Z198" s="491"/>
      <c r="AA198" s="491"/>
      <c r="AB198" s="491"/>
      <c r="AC198" s="491"/>
      <c r="AD198" s="491"/>
      <c r="AE198" s="491"/>
      <c r="AF198" s="491"/>
      <c r="AG198" s="491"/>
      <c r="AH198" s="491"/>
      <c r="AI198" s="491"/>
      <c r="AJ198" s="491"/>
      <c r="AK198" s="491"/>
      <c r="AL198" s="491"/>
      <c r="AM198" s="491"/>
      <c r="AN198" s="491"/>
      <c r="AO198" s="491"/>
      <c r="AP198" s="491"/>
      <c r="AQ198" s="491"/>
      <c r="AR198" s="491"/>
      <c r="AS198" s="491"/>
      <c r="AT198" s="491"/>
      <c r="AU198" s="491"/>
      <c r="AV198" s="491"/>
    </row>
    <row r="199" spans="1:50" x14ac:dyDescent="0.2">
      <c r="B199" s="436"/>
      <c r="C199" s="436"/>
      <c r="D199" s="436"/>
      <c r="E199" s="501"/>
      <c r="F199" s="475" t="s">
        <v>383</v>
      </c>
      <c r="G199" s="475" t="s">
        <v>384</v>
      </c>
      <c r="H199" s="475" t="s">
        <v>385</v>
      </c>
      <c r="I199" s="475" t="s">
        <v>386</v>
      </c>
      <c r="J199" s="475" t="s">
        <v>387</v>
      </c>
      <c r="K199" s="475" t="s">
        <v>388</v>
      </c>
      <c r="L199" s="475" t="s">
        <v>389</v>
      </c>
      <c r="M199" s="475" t="s">
        <v>390</v>
      </c>
      <c r="N199" s="475" t="s">
        <v>391</v>
      </c>
      <c r="O199" s="475" t="s">
        <v>392</v>
      </c>
      <c r="P199" s="475" t="s">
        <v>393</v>
      </c>
      <c r="Q199" s="475" t="s">
        <v>394</v>
      </c>
      <c r="R199" s="475" t="s">
        <v>395</v>
      </c>
      <c r="S199" s="475" t="s">
        <v>396</v>
      </c>
      <c r="T199" s="475" t="s">
        <v>397</v>
      </c>
      <c r="U199" s="475" t="s">
        <v>398</v>
      </c>
      <c r="V199" s="475" t="s">
        <v>399</v>
      </c>
      <c r="W199" s="475" t="s">
        <v>400</v>
      </c>
      <c r="X199" s="475" t="s">
        <v>401</v>
      </c>
      <c r="Y199" s="475" t="s">
        <v>402</v>
      </c>
      <c r="Z199" s="475" t="s">
        <v>120</v>
      </c>
      <c r="AA199" s="475" t="s">
        <v>146</v>
      </c>
      <c r="AB199" s="475" t="s">
        <v>147</v>
      </c>
      <c r="AC199" s="475" t="s">
        <v>148</v>
      </c>
      <c r="AD199" s="475" t="s">
        <v>149</v>
      </c>
      <c r="AE199" s="475" t="s">
        <v>150</v>
      </c>
      <c r="AF199" s="475" t="s">
        <v>151</v>
      </c>
      <c r="AG199" s="475" t="s">
        <v>152</v>
      </c>
      <c r="AH199" s="475" t="s">
        <v>153</v>
      </c>
      <c r="AI199" s="475" t="s">
        <v>154</v>
      </c>
      <c r="AJ199" s="475" t="s">
        <v>121</v>
      </c>
      <c r="AK199" s="475" t="s">
        <v>403</v>
      </c>
      <c r="AL199" s="475" t="s">
        <v>404</v>
      </c>
      <c r="AM199" s="475" t="s">
        <v>405</v>
      </c>
      <c r="AN199" s="475" t="s">
        <v>406</v>
      </c>
      <c r="AO199" s="475" t="s">
        <v>407</v>
      </c>
      <c r="AP199" s="475" t="s">
        <v>408</v>
      </c>
      <c r="AQ199" s="475" t="s">
        <v>409</v>
      </c>
      <c r="AR199" s="475" t="s">
        <v>410</v>
      </c>
      <c r="AS199" s="475" t="s">
        <v>411</v>
      </c>
      <c r="AT199" s="475" t="s">
        <v>412</v>
      </c>
      <c r="AU199" s="503"/>
      <c r="AV199" s="503"/>
    </row>
    <row r="200" spans="1:50" x14ac:dyDescent="0.2">
      <c r="B200" s="436"/>
      <c r="C200" s="436"/>
      <c r="D200" s="436"/>
      <c r="E200" s="504" t="s">
        <v>126</v>
      </c>
      <c r="F200" s="477">
        <v>2000</v>
      </c>
      <c r="G200" s="477">
        <v>2001</v>
      </c>
      <c r="H200" s="477">
        <v>2002</v>
      </c>
      <c r="I200" s="477">
        <v>2003</v>
      </c>
      <c r="J200" s="477">
        <v>2004</v>
      </c>
      <c r="K200" s="477">
        <v>2005</v>
      </c>
      <c r="L200" s="477">
        <v>2006</v>
      </c>
      <c r="M200" s="477">
        <v>2007</v>
      </c>
      <c r="N200" s="477">
        <v>2008</v>
      </c>
      <c r="O200" s="477">
        <v>2009</v>
      </c>
      <c r="P200" s="477">
        <v>2010</v>
      </c>
      <c r="Q200" s="477">
        <v>2011</v>
      </c>
      <c r="R200" s="477">
        <v>2012</v>
      </c>
      <c r="S200" s="477">
        <v>2013</v>
      </c>
      <c r="T200" s="477">
        <v>2014</v>
      </c>
      <c r="U200" s="477">
        <v>2015</v>
      </c>
      <c r="V200" s="477">
        <v>2016</v>
      </c>
      <c r="W200" s="477">
        <v>2017</v>
      </c>
      <c r="X200" s="477">
        <v>2018</v>
      </c>
      <c r="Y200" s="477">
        <v>2019</v>
      </c>
      <c r="Z200" s="477">
        <v>2020</v>
      </c>
      <c r="AA200" s="477">
        <v>2021</v>
      </c>
      <c r="AB200" s="477">
        <v>2022</v>
      </c>
      <c r="AC200" s="477">
        <v>2023</v>
      </c>
      <c r="AD200" s="477">
        <v>2024</v>
      </c>
      <c r="AE200" s="477">
        <v>2025</v>
      </c>
      <c r="AF200" s="477">
        <v>2026</v>
      </c>
      <c r="AG200" s="477">
        <v>2027</v>
      </c>
      <c r="AH200" s="477">
        <v>2028</v>
      </c>
      <c r="AI200" s="477">
        <v>2029</v>
      </c>
      <c r="AJ200" s="477">
        <v>2030</v>
      </c>
      <c r="AK200" s="477">
        <v>2031</v>
      </c>
      <c r="AL200" s="477">
        <v>2032</v>
      </c>
      <c r="AM200" s="477">
        <v>2033</v>
      </c>
      <c r="AN200" s="477">
        <v>2034</v>
      </c>
      <c r="AO200" s="477">
        <v>2035</v>
      </c>
      <c r="AP200" s="477">
        <v>2036</v>
      </c>
      <c r="AQ200" s="477">
        <v>2037</v>
      </c>
      <c r="AR200" s="477">
        <v>2038</v>
      </c>
      <c r="AS200" s="477">
        <v>2039</v>
      </c>
      <c r="AT200" s="477">
        <v>2040</v>
      </c>
      <c r="AU200" s="505"/>
      <c r="AV200" s="505"/>
    </row>
    <row r="201" spans="1:50" ht="17" x14ac:dyDescent="0.2">
      <c r="C201" s="499"/>
      <c r="D201" s="789" t="s">
        <v>735</v>
      </c>
      <c r="E201" s="790" t="s">
        <v>422</v>
      </c>
      <c r="F201" s="488">
        <f>(F174-F197)/20</f>
        <v>0</v>
      </c>
      <c r="G201" s="488">
        <f t="shared" ref="G201:AT201" si="217">(G174-G197)/20</f>
        <v>223.51386084679979</v>
      </c>
      <c r="H201" s="488">
        <f t="shared" si="217"/>
        <v>447.02772169355302</v>
      </c>
      <c r="I201" s="488">
        <f t="shared" si="217"/>
        <v>670.54158254035281</v>
      </c>
      <c r="J201" s="488">
        <f t="shared" si="217"/>
        <v>894.05544338712934</v>
      </c>
      <c r="K201" s="488">
        <f t="shared" si="217"/>
        <v>1117.5693042339176</v>
      </c>
      <c r="L201" s="488">
        <f t="shared" si="217"/>
        <v>1341.0831650806708</v>
      </c>
      <c r="M201" s="488">
        <f t="shared" si="217"/>
        <v>1564.5970259274472</v>
      </c>
      <c r="N201" s="488">
        <f t="shared" si="217"/>
        <v>1788.1108867742237</v>
      </c>
      <c r="O201" s="488">
        <f t="shared" si="217"/>
        <v>2011.6247476210235</v>
      </c>
      <c r="P201" s="488">
        <f t="shared" si="217"/>
        <v>2235.1386084677883</v>
      </c>
      <c r="Q201" s="488">
        <f t="shared" si="217"/>
        <v>2458.6524693145884</v>
      </c>
      <c r="R201" s="488">
        <f t="shared" si="217"/>
        <v>2682.1663301613648</v>
      </c>
      <c r="S201" s="488">
        <f t="shared" si="217"/>
        <v>2905.6801910081645</v>
      </c>
      <c r="T201" s="488">
        <f t="shared" si="217"/>
        <v>3129.1940518549295</v>
      </c>
      <c r="U201" s="488">
        <f t="shared" si="217"/>
        <v>3352.7079127017178</v>
      </c>
      <c r="V201" s="488">
        <f t="shared" si="217"/>
        <v>3576.2217735485056</v>
      </c>
      <c r="W201" s="488">
        <f t="shared" si="217"/>
        <v>3799.7356343952706</v>
      </c>
      <c r="X201" s="488">
        <f t="shared" si="217"/>
        <v>4023.2494952420357</v>
      </c>
      <c r="Y201" s="488">
        <f t="shared" si="217"/>
        <v>4246.7633560888471</v>
      </c>
      <c r="Z201" s="488">
        <f t="shared" si="217"/>
        <v>4470.2772169356349</v>
      </c>
      <c r="AA201" s="488">
        <f t="shared" si="217"/>
        <v>4294.4764032220355</v>
      </c>
      <c r="AB201" s="488">
        <f t="shared" si="217"/>
        <v>4118.6755895085053</v>
      </c>
      <c r="AC201" s="488">
        <f t="shared" si="217"/>
        <v>3942.87477579494</v>
      </c>
      <c r="AD201" s="488">
        <f t="shared" si="217"/>
        <v>3767.0739620813752</v>
      </c>
      <c r="AE201" s="488">
        <f t="shared" si="217"/>
        <v>3591.2731483677985</v>
      </c>
      <c r="AF201" s="488">
        <f t="shared" si="217"/>
        <v>3415.4723346542569</v>
      </c>
      <c r="AG201" s="488">
        <f t="shared" si="217"/>
        <v>3239.6715209407148</v>
      </c>
      <c r="AH201" s="488">
        <f t="shared" si="217"/>
        <v>3063.8707072271618</v>
      </c>
      <c r="AI201" s="488">
        <f t="shared" si="217"/>
        <v>2888.0698935135852</v>
      </c>
      <c r="AJ201" s="488">
        <f t="shared" si="217"/>
        <v>2712.2690798000431</v>
      </c>
      <c r="AK201" s="488">
        <f t="shared" si="217"/>
        <v>2536.4682660864664</v>
      </c>
      <c r="AL201" s="488">
        <f t="shared" si="217"/>
        <v>2360.6674523728784</v>
      </c>
      <c r="AM201" s="488">
        <f t="shared" si="217"/>
        <v>2184.8666386593131</v>
      </c>
      <c r="AN201" s="488">
        <f t="shared" si="217"/>
        <v>2009.0658249457715</v>
      </c>
      <c r="AO201" s="488">
        <f t="shared" si="217"/>
        <v>1833.2650112322183</v>
      </c>
      <c r="AP201" s="488">
        <f t="shared" si="217"/>
        <v>1657.46419751863</v>
      </c>
      <c r="AQ201" s="488">
        <f t="shared" si="217"/>
        <v>1481.6633838050882</v>
      </c>
      <c r="AR201" s="488">
        <f t="shared" si="217"/>
        <v>1305.8625700915466</v>
      </c>
      <c r="AS201" s="488">
        <f t="shared" si="217"/>
        <v>1130.0617563779583</v>
      </c>
      <c r="AT201" s="488">
        <f t="shared" si="217"/>
        <v>954.26094266438156</v>
      </c>
      <c r="AU201" s="492"/>
      <c r="AV201" s="492"/>
    </row>
    <row r="202" spans="1:50" ht="34" x14ac:dyDescent="0.2">
      <c r="C202" s="499"/>
      <c r="D202" s="791" t="s">
        <v>747</v>
      </c>
      <c r="E202" s="790" t="s">
        <v>748</v>
      </c>
      <c r="F202" s="488">
        <f>F201*-44/12</f>
        <v>0</v>
      </c>
      <c r="G202" s="488">
        <f>G201*-44/12</f>
        <v>-819.55082310493253</v>
      </c>
      <c r="H202" s="488">
        <f t="shared" ref="H202:AT202" si="218">H201*-44/12</f>
        <v>-1639.1016462096943</v>
      </c>
      <c r="I202" s="488">
        <f t="shared" si="218"/>
        <v>-2458.6524693146271</v>
      </c>
      <c r="J202" s="488">
        <f t="shared" si="218"/>
        <v>-3278.2032924194741</v>
      </c>
      <c r="K202" s="488">
        <f t="shared" si="218"/>
        <v>-4097.7541155243644</v>
      </c>
      <c r="L202" s="488">
        <f t="shared" si="218"/>
        <v>-4917.3049386291268</v>
      </c>
      <c r="M202" s="488">
        <f t="shared" si="218"/>
        <v>-5736.8557617339729</v>
      </c>
      <c r="N202" s="488">
        <f t="shared" si="218"/>
        <v>-6556.40658483882</v>
      </c>
      <c r="O202" s="488">
        <f t="shared" si="218"/>
        <v>-7375.9574079437525</v>
      </c>
      <c r="P202" s="488">
        <f t="shared" si="218"/>
        <v>-8195.5082310485577</v>
      </c>
      <c r="Q202" s="488">
        <f t="shared" si="218"/>
        <v>-9015.0590541534912</v>
      </c>
      <c r="R202" s="488">
        <f t="shared" si="218"/>
        <v>-9834.6098772583373</v>
      </c>
      <c r="S202" s="488">
        <f t="shared" si="218"/>
        <v>-10654.160700363269</v>
      </c>
      <c r="T202" s="488">
        <f t="shared" si="218"/>
        <v>-11473.711523468075</v>
      </c>
      <c r="U202" s="488">
        <f t="shared" si="218"/>
        <v>-12293.262346572965</v>
      </c>
      <c r="V202" s="488">
        <f t="shared" si="218"/>
        <v>-13112.813169677853</v>
      </c>
      <c r="W202" s="488">
        <f t="shared" si="218"/>
        <v>-13932.363992782659</v>
      </c>
      <c r="X202" s="488">
        <f t="shared" si="218"/>
        <v>-14751.914815887465</v>
      </c>
      <c r="Y202" s="488">
        <f t="shared" si="218"/>
        <v>-15571.46563899244</v>
      </c>
      <c r="Z202" s="488">
        <f t="shared" si="218"/>
        <v>-16391.016462097326</v>
      </c>
      <c r="AA202" s="488">
        <f t="shared" si="218"/>
        <v>-15746.413478480797</v>
      </c>
      <c r="AB202" s="488">
        <f t="shared" si="218"/>
        <v>-15101.81049486452</v>
      </c>
      <c r="AC202" s="488">
        <f t="shared" si="218"/>
        <v>-14457.207511248112</v>
      </c>
      <c r="AD202" s="488">
        <f t="shared" si="218"/>
        <v>-13812.604527631709</v>
      </c>
      <c r="AE202" s="488">
        <f t="shared" si="218"/>
        <v>-13168.001544015262</v>
      </c>
      <c r="AF202" s="488">
        <f t="shared" si="218"/>
        <v>-12523.398560398942</v>
      </c>
      <c r="AG202" s="488">
        <f t="shared" si="218"/>
        <v>-11878.795576782621</v>
      </c>
      <c r="AH202" s="488">
        <f t="shared" si="218"/>
        <v>-11234.192593166261</v>
      </c>
      <c r="AI202" s="488">
        <f t="shared" si="218"/>
        <v>-10589.589609549812</v>
      </c>
      <c r="AJ202" s="488">
        <f t="shared" si="218"/>
        <v>-9944.9866259334904</v>
      </c>
      <c r="AK202" s="488">
        <f t="shared" si="218"/>
        <v>-9300.3836423170433</v>
      </c>
      <c r="AL202" s="488">
        <f t="shared" si="218"/>
        <v>-8655.7806587005543</v>
      </c>
      <c r="AM202" s="488">
        <f t="shared" si="218"/>
        <v>-8011.1776750841482</v>
      </c>
      <c r="AN202" s="488">
        <f t="shared" si="218"/>
        <v>-7366.5746914678284</v>
      </c>
      <c r="AO202" s="488">
        <f t="shared" si="218"/>
        <v>-6721.9717078514668</v>
      </c>
      <c r="AP202" s="488">
        <f t="shared" si="218"/>
        <v>-6077.368724234977</v>
      </c>
      <c r="AQ202" s="488">
        <f t="shared" si="218"/>
        <v>-5432.7657406186563</v>
      </c>
      <c r="AR202" s="488">
        <f t="shared" si="218"/>
        <v>-4788.1627570023375</v>
      </c>
      <c r="AS202" s="488">
        <f t="shared" si="218"/>
        <v>-4143.5597733858476</v>
      </c>
      <c r="AT202" s="488">
        <f t="shared" si="218"/>
        <v>-3498.9567897693992</v>
      </c>
      <c r="AU202" s="492"/>
      <c r="AV202" s="492"/>
    </row>
    <row r="203" spans="1:50" ht="34" x14ac:dyDescent="0.2">
      <c r="C203" s="499"/>
      <c r="D203" s="791" t="s">
        <v>747</v>
      </c>
      <c r="E203" s="790" t="s">
        <v>734</v>
      </c>
      <c r="F203" s="488">
        <f>F202/1000</f>
        <v>0</v>
      </c>
      <c r="G203" s="488">
        <f t="shared" ref="G203:AT203" si="219">G202/1000</f>
        <v>-0.81955082310493255</v>
      </c>
      <c r="H203" s="488">
        <f t="shared" si="219"/>
        <v>-1.6391016462096943</v>
      </c>
      <c r="I203" s="488">
        <f t="shared" si="219"/>
        <v>-2.458652469314627</v>
      </c>
      <c r="J203" s="488">
        <f t="shared" si="219"/>
        <v>-3.2782032924194739</v>
      </c>
      <c r="K203" s="488">
        <f t="shared" si="219"/>
        <v>-4.0977541155243644</v>
      </c>
      <c r="L203" s="488">
        <f t="shared" si="219"/>
        <v>-4.917304938629127</v>
      </c>
      <c r="M203" s="488">
        <f t="shared" si="219"/>
        <v>-5.736855761733973</v>
      </c>
      <c r="N203" s="488">
        <f t="shared" si="219"/>
        <v>-6.55640658483882</v>
      </c>
      <c r="O203" s="488">
        <f t="shared" si="219"/>
        <v>-7.3759574079437522</v>
      </c>
      <c r="P203" s="488">
        <f t="shared" si="219"/>
        <v>-8.1955082310485583</v>
      </c>
      <c r="Q203" s="488">
        <f t="shared" si="219"/>
        <v>-9.0150590541534914</v>
      </c>
      <c r="R203" s="488">
        <f t="shared" si="219"/>
        <v>-9.8346098772583375</v>
      </c>
      <c r="S203" s="488">
        <f t="shared" si="219"/>
        <v>-10.654160700363269</v>
      </c>
      <c r="T203" s="488">
        <f t="shared" si="219"/>
        <v>-11.473711523468076</v>
      </c>
      <c r="U203" s="488">
        <f t="shared" si="219"/>
        <v>-12.293262346572964</v>
      </c>
      <c r="V203" s="488">
        <f t="shared" si="219"/>
        <v>-13.112813169677853</v>
      </c>
      <c r="W203" s="488">
        <f t="shared" si="219"/>
        <v>-13.932363992782658</v>
      </c>
      <c r="X203" s="488">
        <f t="shared" si="219"/>
        <v>-14.751914815887465</v>
      </c>
      <c r="Y203" s="488">
        <f t="shared" si="219"/>
        <v>-15.571465638992441</v>
      </c>
      <c r="Z203" s="488">
        <f t="shared" si="219"/>
        <v>-16.391016462097326</v>
      </c>
      <c r="AA203" s="488">
        <f t="shared" si="219"/>
        <v>-15.746413478480797</v>
      </c>
      <c r="AB203" s="488">
        <f t="shared" si="219"/>
        <v>-15.10181049486452</v>
      </c>
      <c r="AC203" s="488">
        <f t="shared" si="219"/>
        <v>-14.457207511248113</v>
      </c>
      <c r="AD203" s="488">
        <f t="shared" si="219"/>
        <v>-13.812604527631709</v>
      </c>
      <c r="AE203" s="488">
        <f t="shared" si="219"/>
        <v>-13.168001544015262</v>
      </c>
      <c r="AF203" s="488">
        <f t="shared" si="219"/>
        <v>-12.523398560398942</v>
      </c>
      <c r="AG203" s="488">
        <f t="shared" si="219"/>
        <v>-11.87879557678262</v>
      </c>
      <c r="AH203" s="488">
        <f t="shared" si="219"/>
        <v>-11.234192593166261</v>
      </c>
      <c r="AI203" s="488">
        <f t="shared" si="219"/>
        <v>-10.589589609549812</v>
      </c>
      <c r="AJ203" s="488">
        <f t="shared" si="219"/>
        <v>-9.94498662593349</v>
      </c>
      <c r="AK203" s="488">
        <f t="shared" si="219"/>
        <v>-9.3003836423170441</v>
      </c>
      <c r="AL203" s="488">
        <f t="shared" si="219"/>
        <v>-8.6557806587005537</v>
      </c>
      <c r="AM203" s="488">
        <f t="shared" si="219"/>
        <v>-8.0111776750841486</v>
      </c>
      <c r="AN203" s="488">
        <f t="shared" si="219"/>
        <v>-7.3665746914678287</v>
      </c>
      <c r="AO203" s="488">
        <f t="shared" si="219"/>
        <v>-6.7219717078514671</v>
      </c>
      <c r="AP203" s="488">
        <f t="shared" si="219"/>
        <v>-6.0773687242349768</v>
      </c>
      <c r="AQ203" s="488">
        <f t="shared" si="219"/>
        <v>-5.432765740618656</v>
      </c>
      <c r="AR203" s="488">
        <f t="shared" si="219"/>
        <v>-4.7881627570023371</v>
      </c>
      <c r="AS203" s="488">
        <f t="shared" si="219"/>
        <v>-4.1435597733858476</v>
      </c>
      <c r="AT203" s="488">
        <f t="shared" si="219"/>
        <v>-3.4989567897693989</v>
      </c>
      <c r="AU203" s="506"/>
      <c r="AV203" s="506"/>
    </row>
    <row r="204" spans="1:50" ht="17" x14ac:dyDescent="0.2">
      <c r="C204" s="499"/>
      <c r="D204" s="791" t="s">
        <v>736</v>
      </c>
      <c r="E204" s="790" t="s">
        <v>422</v>
      </c>
      <c r="F204" s="488">
        <f>F197+F201</f>
        <v>1202639.7319999998</v>
      </c>
      <c r="G204" s="488">
        <f>F204+G201</f>
        <v>1202863.2458608467</v>
      </c>
      <c r="H204" s="488">
        <f>G204+H201</f>
        <v>1203310.2735825402</v>
      </c>
      <c r="I204" s="488">
        <f t="shared" ref="I204:AT204" si="220">H204+I201</f>
        <v>1203980.8151650806</v>
      </c>
      <c r="J204" s="488">
        <f t="shared" si="220"/>
        <v>1204874.8706084676</v>
      </c>
      <c r="K204" s="488">
        <f t="shared" si="220"/>
        <v>1205992.4399127015</v>
      </c>
      <c r="L204" s="488">
        <f t="shared" si="220"/>
        <v>1207333.5230777822</v>
      </c>
      <c r="M204" s="488">
        <f t="shared" si="220"/>
        <v>1208898.1201037096</v>
      </c>
      <c r="N204" s="488">
        <f t="shared" si="220"/>
        <v>1210686.2309904839</v>
      </c>
      <c r="O204" s="488">
        <f t="shared" si="220"/>
        <v>1212697.855738105</v>
      </c>
      <c r="P204" s="488">
        <f t="shared" si="220"/>
        <v>1214932.9943465728</v>
      </c>
      <c r="Q204" s="488">
        <f t="shared" si="220"/>
        <v>1217391.6468158874</v>
      </c>
      <c r="R204" s="488">
        <f t="shared" si="220"/>
        <v>1220073.8131460487</v>
      </c>
      <c r="S204" s="488">
        <f t="shared" si="220"/>
        <v>1222979.4933370568</v>
      </c>
      <c r="T204" s="488">
        <f t="shared" si="220"/>
        <v>1226108.6873889118</v>
      </c>
      <c r="U204" s="488">
        <f t="shared" si="220"/>
        <v>1229461.3953016135</v>
      </c>
      <c r="V204" s="488">
        <f t="shared" si="220"/>
        <v>1233037.617075162</v>
      </c>
      <c r="W204" s="488">
        <f t="shared" si="220"/>
        <v>1236837.3527095574</v>
      </c>
      <c r="X204" s="488">
        <f t="shared" si="220"/>
        <v>1240860.6022047994</v>
      </c>
      <c r="Y204" s="488">
        <f t="shared" si="220"/>
        <v>1245107.3655608883</v>
      </c>
      <c r="Z204" s="488">
        <f t="shared" si="220"/>
        <v>1249577.6427778238</v>
      </c>
      <c r="AA204" s="488">
        <f t="shared" si="220"/>
        <v>1253872.1191810458</v>
      </c>
      <c r="AB204" s="488">
        <f t="shared" si="220"/>
        <v>1257990.7947705544</v>
      </c>
      <c r="AC204" s="488">
        <f t="shared" si="220"/>
        <v>1261933.6695463494</v>
      </c>
      <c r="AD204" s="488">
        <f t="shared" si="220"/>
        <v>1265700.7435084309</v>
      </c>
      <c r="AE204" s="488">
        <f t="shared" si="220"/>
        <v>1269292.0166567988</v>
      </c>
      <c r="AF204" s="488">
        <f t="shared" si="220"/>
        <v>1272707.4889914531</v>
      </c>
      <c r="AG204" s="488">
        <f t="shared" si="220"/>
        <v>1275947.1605123938</v>
      </c>
      <c r="AH204" s="488">
        <f t="shared" si="220"/>
        <v>1279011.031219621</v>
      </c>
      <c r="AI204" s="488">
        <f t="shared" si="220"/>
        <v>1281899.1011131345</v>
      </c>
      <c r="AJ204" s="488">
        <f t="shared" si="220"/>
        <v>1284611.3701929345</v>
      </c>
      <c r="AK204" s="488">
        <f t="shared" si="220"/>
        <v>1287147.8384590209</v>
      </c>
      <c r="AL204" s="488">
        <f t="shared" si="220"/>
        <v>1289508.5059113938</v>
      </c>
      <c r="AM204" s="488">
        <f t="shared" si="220"/>
        <v>1291693.3725500531</v>
      </c>
      <c r="AN204" s="488">
        <f t="shared" si="220"/>
        <v>1293702.4383749987</v>
      </c>
      <c r="AO204" s="488">
        <f t="shared" si="220"/>
        <v>1295535.7033862309</v>
      </c>
      <c r="AP204" s="488">
        <f t="shared" si="220"/>
        <v>1297193.1675837494</v>
      </c>
      <c r="AQ204" s="488">
        <f t="shared" si="220"/>
        <v>1298674.8309675546</v>
      </c>
      <c r="AR204" s="488">
        <f t="shared" si="220"/>
        <v>1299980.6935376462</v>
      </c>
      <c r="AS204" s="488">
        <f t="shared" si="220"/>
        <v>1301110.7552940242</v>
      </c>
      <c r="AT204" s="488">
        <f t="shared" si="220"/>
        <v>1302065.0162366887</v>
      </c>
      <c r="AU204" s="492"/>
      <c r="AV204" s="492"/>
    </row>
    <row r="205" spans="1:50" s="436" customFormat="1" x14ac:dyDescent="0.2">
      <c r="AX205"/>
    </row>
    <row r="206" spans="1:50" x14ac:dyDescent="0.2">
      <c r="D206" s="505"/>
      <c r="F206" s="492"/>
      <c r="G206" s="492"/>
      <c r="H206" s="492"/>
      <c r="I206" s="492"/>
      <c r="J206" s="492"/>
      <c r="K206" s="492"/>
      <c r="L206" s="492"/>
      <c r="M206" s="492"/>
      <c r="N206" s="492"/>
      <c r="O206" s="492"/>
      <c r="P206" s="492"/>
      <c r="Q206" s="492"/>
      <c r="R206" s="492"/>
      <c r="S206" s="492"/>
      <c r="T206" s="492"/>
      <c r="U206" s="492"/>
      <c r="V206" s="492"/>
      <c r="W206" s="492"/>
      <c r="X206" s="492"/>
      <c r="Y206" s="492"/>
      <c r="Z206" s="492"/>
      <c r="AA206" s="492"/>
      <c r="AB206" s="492"/>
      <c r="AC206" s="492"/>
      <c r="AD206" s="492"/>
      <c r="AE206" s="492"/>
      <c r="AF206" s="492"/>
      <c r="AG206" s="492"/>
      <c r="AH206" s="492"/>
      <c r="AI206" s="492"/>
      <c r="AJ206" s="492"/>
      <c r="AK206" s="492"/>
      <c r="AL206" s="492"/>
      <c r="AM206" s="492"/>
      <c r="AN206" s="492"/>
      <c r="AO206" s="492"/>
      <c r="AP206" s="492"/>
      <c r="AQ206" s="492"/>
      <c r="AR206" s="492"/>
      <c r="AS206" s="492"/>
      <c r="AT206" s="492"/>
      <c r="AU206" s="492"/>
      <c r="AV206" s="492"/>
    </row>
    <row r="207" spans="1:50" x14ac:dyDescent="0.2">
      <c r="D207" s="505"/>
      <c r="F207" s="475" t="s">
        <v>383</v>
      </c>
      <c r="G207" s="475" t="s">
        <v>384</v>
      </c>
      <c r="H207" s="475" t="s">
        <v>385</v>
      </c>
      <c r="I207" s="475" t="s">
        <v>386</v>
      </c>
      <c r="J207" s="475" t="s">
        <v>387</v>
      </c>
      <c r="K207" s="475" t="s">
        <v>388</v>
      </c>
      <c r="L207" s="475" t="s">
        <v>389</v>
      </c>
      <c r="M207" s="475" t="s">
        <v>390</v>
      </c>
      <c r="N207" s="475" t="s">
        <v>391</v>
      </c>
      <c r="O207" s="475" t="s">
        <v>392</v>
      </c>
      <c r="P207" s="475" t="s">
        <v>393</v>
      </c>
      <c r="Q207" s="475" t="s">
        <v>394</v>
      </c>
      <c r="R207" s="475" t="s">
        <v>395</v>
      </c>
      <c r="S207" s="475" t="s">
        <v>396</v>
      </c>
      <c r="T207" s="475" t="s">
        <v>397</v>
      </c>
      <c r="U207" s="475" t="s">
        <v>398</v>
      </c>
      <c r="V207" s="475" t="s">
        <v>399</v>
      </c>
      <c r="W207" s="475" t="s">
        <v>400</v>
      </c>
      <c r="X207" s="475" t="s">
        <v>401</v>
      </c>
      <c r="Y207" s="475" t="s">
        <v>402</v>
      </c>
      <c r="Z207" s="475" t="s">
        <v>120</v>
      </c>
      <c r="AA207" s="475" t="s">
        <v>146</v>
      </c>
      <c r="AB207" s="475" t="s">
        <v>147</v>
      </c>
      <c r="AC207" s="475" t="s">
        <v>148</v>
      </c>
      <c r="AD207" s="475" t="s">
        <v>149</v>
      </c>
      <c r="AE207" s="475" t="s">
        <v>150</v>
      </c>
      <c r="AF207" s="475" t="s">
        <v>151</v>
      </c>
      <c r="AG207" s="475" t="s">
        <v>152</v>
      </c>
      <c r="AH207" s="475" t="s">
        <v>153</v>
      </c>
      <c r="AI207" s="475" t="s">
        <v>154</v>
      </c>
      <c r="AJ207" s="475" t="s">
        <v>121</v>
      </c>
      <c r="AK207" s="475" t="s">
        <v>403</v>
      </c>
      <c r="AL207" s="475" t="s">
        <v>404</v>
      </c>
      <c r="AM207" s="475" t="s">
        <v>405</v>
      </c>
      <c r="AN207" s="475" t="s">
        <v>406</v>
      </c>
      <c r="AO207" s="475" t="s">
        <v>407</v>
      </c>
      <c r="AP207" s="475" t="s">
        <v>408</v>
      </c>
      <c r="AQ207" s="475" t="s">
        <v>409</v>
      </c>
      <c r="AR207" s="475" t="s">
        <v>410</v>
      </c>
      <c r="AS207" s="475" t="s">
        <v>411</v>
      </c>
      <c r="AT207" s="475" t="s">
        <v>412</v>
      </c>
      <c r="AU207" s="492"/>
      <c r="AV207" s="492"/>
    </row>
    <row r="208" spans="1:50" ht="18" x14ac:dyDescent="0.2">
      <c r="C208" s="499"/>
      <c r="D208" s="496" t="s">
        <v>613</v>
      </c>
      <c r="E208" s="790" t="s">
        <v>734</v>
      </c>
      <c r="F208" s="488">
        <f t="shared" ref="F208:AT208" si="221">F203-F122</f>
        <v>0</v>
      </c>
      <c r="G208" s="488">
        <f t="shared" si="221"/>
        <v>-0.69700816409691857</v>
      </c>
      <c r="H208" s="488">
        <f t="shared" si="221"/>
        <v>-1.3940163281936664</v>
      </c>
      <c r="I208" s="488">
        <f t="shared" si="221"/>
        <v>-2.0910244922905847</v>
      </c>
      <c r="J208" s="488">
        <f t="shared" si="221"/>
        <v>-2.7880326563875033</v>
      </c>
      <c r="K208" s="488">
        <f t="shared" si="221"/>
        <v>-3.4850408204843371</v>
      </c>
      <c r="L208" s="488">
        <f t="shared" si="221"/>
        <v>-4.1820489845811277</v>
      </c>
      <c r="M208" s="488">
        <f t="shared" si="221"/>
        <v>-4.8790571486780454</v>
      </c>
      <c r="N208" s="488">
        <f t="shared" si="221"/>
        <v>-5.5760653127748361</v>
      </c>
      <c r="O208" s="488">
        <f t="shared" si="221"/>
        <v>-6.2730734768717547</v>
      </c>
      <c r="P208" s="488">
        <f t="shared" si="221"/>
        <v>-6.9700816409686315</v>
      </c>
      <c r="Q208" s="488">
        <f t="shared" si="221"/>
        <v>-7.6670898050655509</v>
      </c>
      <c r="R208" s="488">
        <f t="shared" si="221"/>
        <v>-8.3640979691622981</v>
      </c>
      <c r="S208" s="488">
        <f t="shared" si="221"/>
        <v>-9.0611061332592566</v>
      </c>
      <c r="T208" s="488">
        <f t="shared" si="221"/>
        <v>-9.75811429735605</v>
      </c>
      <c r="U208" s="488">
        <f t="shared" si="221"/>
        <v>-10.455122461452882</v>
      </c>
      <c r="V208" s="488">
        <f t="shared" si="221"/>
        <v>-11.152130625549757</v>
      </c>
      <c r="W208" s="488">
        <f t="shared" si="221"/>
        <v>-11.849138789646592</v>
      </c>
      <c r="X208" s="488">
        <f t="shared" si="221"/>
        <v>-12.546146953743426</v>
      </c>
      <c r="Y208" s="488">
        <f t="shared" si="221"/>
        <v>-13.243155117840388</v>
      </c>
      <c r="Z208" s="488">
        <f t="shared" si="221"/>
        <v>-13.940163281937302</v>
      </c>
      <c r="AA208" s="488">
        <f t="shared" si="221"/>
        <v>-13.295560298320815</v>
      </c>
      <c r="AB208" s="488">
        <f t="shared" si="221"/>
        <v>-12.650957314704453</v>
      </c>
      <c r="AC208" s="488">
        <f t="shared" si="221"/>
        <v>-12.006354331088088</v>
      </c>
      <c r="AD208" s="488">
        <f t="shared" si="221"/>
        <v>-11.361751347471685</v>
      </c>
      <c r="AE208" s="488">
        <f t="shared" si="221"/>
        <v>-10.717148363855237</v>
      </c>
      <c r="AF208" s="488">
        <f t="shared" si="221"/>
        <v>-10.072545380239003</v>
      </c>
      <c r="AG208" s="488">
        <f t="shared" si="221"/>
        <v>-9.4279423966225533</v>
      </c>
      <c r="AH208" s="488">
        <f t="shared" si="221"/>
        <v>-8.783339413006237</v>
      </c>
      <c r="AI208" s="488">
        <f t="shared" si="221"/>
        <v>-8.1387364293897875</v>
      </c>
      <c r="AJ208" s="488">
        <f t="shared" si="221"/>
        <v>-7.4941334457734659</v>
      </c>
      <c r="AK208" s="488">
        <f t="shared" si="221"/>
        <v>-6.8495304621569773</v>
      </c>
      <c r="AL208" s="488">
        <f t="shared" si="221"/>
        <v>-6.2049274785405295</v>
      </c>
      <c r="AM208" s="488">
        <f t="shared" si="221"/>
        <v>-5.5603244949241244</v>
      </c>
      <c r="AN208" s="488">
        <f t="shared" si="221"/>
        <v>-4.9157215113078472</v>
      </c>
      <c r="AO208" s="488">
        <f t="shared" si="221"/>
        <v>-4.2711185276916144</v>
      </c>
      <c r="AP208" s="488">
        <f t="shared" si="221"/>
        <v>-3.6265155440750809</v>
      </c>
      <c r="AQ208" s="488">
        <f t="shared" si="221"/>
        <v>-2.9819125604586745</v>
      </c>
      <c r="AR208" s="488">
        <f t="shared" si="221"/>
        <v>-2.3373095768423982</v>
      </c>
      <c r="AS208" s="488">
        <f t="shared" si="221"/>
        <v>-1.692706593225866</v>
      </c>
      <c r="AT208" s="488">
        <f t="shared" si="221"/>
        <v>-1.04810360960946</v>
      </c>
      <c r="AU208" s="503"/>
      <c r="AV208" s="503"/>
    </row>
    <row r="209" spans="1:50" ht="18" x14ac:dyDescent="0.2">
      <c r="C209" s="499"/>
      <c r="D209" s="496" t="s">
        <v>612</v>
      </c>
      <c r="E209" s="790" t="s">
        <v>734</v>
      </c>
      <c r="F209" s="488">
        <f>F204-F123</f>
        <v>0</v>
      </c>
      <c r="G209" s="488">
        <f>SUM($F$208:G208)</f>
        <v>-0.69700816409691857</v>
      </c>
      <c r="H209" s="488">
        <f>SUM($F$208:H208)</f>
        <v>-2.0910244922905852</v>
      </c>
      <c r="I209" s="488">
        <f>SUM($F$208:I208)</f>
        <v>-4.1820489845811704</v>
      </c>
      <c r="J209" s="488">
        <f>SUM($F$208:J208)</f>
        <v>-6.9700816409686741</v>
      </c>
      <c r="K209" s="488">
        <f>SUM($F$208:K208)</f>
        <v>-10.455122461453012</v>
      </c>
      <c r="L209" s="488">
        <f>SUM($F$208:L208)</f>
        <v>-14.63717144603414</v>
      </c>
      <c r="M209" s="488">
        <f>SUM($F$208:M208)</f>
        <v>-19.516228594712185</v>
      </c>
      <c r="N209" s="488">
        <f>SUM($F$208:N208)</f>
        <v>-25.092293907487022</v>
      </c>
      <c r="O209" s="488">
        <f>SUM($F$208:O208)</f>
        <v>-31.365367384358777</v>
      </c>
      <c r="P209" s="488">
        <f>SUM($F$208:P208)</f>
        <v>-38.335449025327407</v>
      </c>
      <c r="Q209" s="488">
        <f>SUM($F$208:Q208)</f>
        <v>-46.002538830392957</v>
      </c>
      <c r="R209" s="488">
        <f>SUM($F$208:R208)</f>
        <v>-54.366636799555252</v>
      </c>
      <c r="S209" s="488">
        <f>SUM($F$208:S208)</f>
        <v>-63.42774293281451</v>
      </c>
      <c r="T209" s="488">
        <f>SUM($F$208:T208)</f>
        <v>-73.185857230170555</v>
      </c>
      <c r="U209" s="488">
        <f>SUM($F$208:U208)</f>
        <v>-83.640979691623443</v>
      </c>
      <c r="V209" s="488">
        <f>SUM($F$208:V208)</f>
        <v>-94.793110317173202</v>
      </c>
      <c r="W209" s="488">
        <f>SUM($F$208:W208)</f>
        <v>-106.64224910681979</v>
      </c>
      <c r="X209" s="488">
        <f>SUM($F$208:X208)</f>
        <v>-119.18839606056322</v>
      </c>
      <c r="Y209" s="488">
        <f>SUM($F$208:Y208)</f>
        <v>-132.43155117840359</v>
      </c>
      <c r="Z209" s="488">
        <f>SUM($F$208:Z208)</f>
        <v>-146.37171446034091</v>
      </c>
      <c r="AA209" s="488">
        <f>SUM($F$208:AA208)</f>
        <v>-159.66727475866173</v>
      </c>
      <c r="AB209" s="488">
        <f>SUM($F$208:AB208)</f>
        <v>-172.31823207336618</v>
      </c>
      <c r="AC209" s="488">
        <f>SUM($F$208:AC208)</f>
        <v>-184.32458640445427</v>
      </c>
      <c r="AD209" s="488">
        <f>SUM($F$208:AD208)</f>
        <v>-195.68633775192595</v>
      </c>
      <c r="AE209" s="488">
        <f>SUM($F$208:AE208)</f>
        <v>-206.40348611578119</v>
      </c>
      <c r="AF209" s="488">
        <f>SUM($F$208:AF208)</f>
        <v>-216.4760314960202</v>
      </c>
      <c r="AG209" s="488">
        <f>SUM($F$208:AG208)</f>
        <v>-225.90397389264274</v>
      </c>
      <c r="AH209" s="488">
        <f>SUM($F$208:AH208)</f>
        <v>-234.68731330564898</v>
      </c>
      <c r="AI209" s="488">
        <f>SUM($F$208:AI208)</f>
        <v>-242.82604973503877</v>
      </c>
      <c r="AJ209" s="488">
        <f>SUM($F$208:AJ208)</f>
        <v>-250.32018318081222</v>
      </c>
      <c r="AK209" s="488">
        <f>SUM($F$208:AK208)</f>
        <v>-257.16971364296921</v>
      </c>
      <c r="AL209" s="488">
        <f>SUM($F$208:AL208)</f>
        <v>-263.37464112150974</v>
      </c>
      <c r="AM209" s="488">
        <f>SUM($F$208:AM208)</f>
        <v>-268.93496561643389</v>
      </c>
      <c r="AN209" s="488">
        <f>SUM($F$208:AN208)</f>
        <v>-273.85068712774171</v>
      </c>
      <c r="AO209" s="488">
        <f>SUM($F$208:AO208)</f>
        <v>-278.12180565543332</v>
      </c>
      <c r="AP209" s="488">
        <f>SUM($F$208:AP208)</f>
        <v>-281.74832119950838</v>
      </c>
      <c r="AQ209" s="488">
        <f>SUM($F$208:AQ208)</f>
        <v>-284.73023375996706</v>
      </c>
      <c r="AR209" s="488">
        <f>SUM($F$208:AR208)</f>
        <v>-287.06754333680948</v>
      </c>
      <c r="AS209" s="488">
        <f>SUM($F$208:AS208)</f>
        <v>-288.76024993003534</v>
      </c>
      <c r="AT209" s="488">
        <f>SUM($F$208:AT208)</f>
        <v>-289.80835353964483</v>
      </c>
      <c r="AU209" s="503"/>
      <c r="AV209" s="503"/>
    </row>
    <row r="210" spans="1:50" s="436" customFormat="1" x14ac:dyDescent="0.2">
      <c r="G210" s="507"/>
      <c r="H210" s="507"/>
      <c r="I210" s="507"/>
      <c r="J210" s="507"/>
      <c r="AX210"/>
    </row>
    <row r="211" spans="1:50" ht="18" x14ac:dyDescent="0.2">
      <c r="G211" s="508"/>
      <c r="H211" s="471"/>
      <c r="I211" s="471"/>
      <c r="J211" s="453"/>
    </row>
    <row r="212" spans="1:50" ht="18" x14ac:dyDescent="0.2">
      <c r="G212" s="508"/>
      <c r="H212" s="471"/>
      <c r="I212" s="471"/>
      <c r="J212" s="453"/>
    </row>
    <row r="213" spans="1:50" s="445" customFormat="1" ht="18" x14ac:dyDescent="0.2">
      <c r="A213" s="437">
        <v>5</v>
      </c>
      <c r="B213" s="438" t="s">
        <v>863</v>
      </c>
      <c r="C213" s="438"/>
      <c r="D213" s="438"/>
      <c r="E213" s="439"/>
      <c r="F213" s="439"/>
      <c r="G213" s="440"/>
      <c r="H213" s="441"/>
      <c r="I213" s="442"/>
      <c r="J213" s="443"/>
      <c r="K213" s="443"/>
      <c r="L213" s="442"/>
      <c r="M213" s="443"/>
      <c r="N213" s="444"/>
      <c r="O213" s="444"/>
      <c r="P213" s="444"/>
      <c r="Q213" s="444"/>
      <c r="R213" s="444"/>
      <c r="S213" s="444"/>
      <c r="T213" s="444"/>
      <c r="U213" s="444"/>
      <c r="V213" s="444"/>
      <c r="W213" s="444"/>
      <c r="X213" s="444"/>
      <c r="Y213" s="444"/>
      <c r="Z213" s="444"/>
      <c r="AA213" s="444"/>
      <c r="AB213" s="444"/>
      <c r="AC213" s="444"/>
      <c r="AD213" s="444"/>
      <c r="AE213" s="444"/>
      <c r="AF213" s="444"/>
      <c r="AG213" s="444"/>
      <c r="AH213" s="444"/>
      <c r="AI213" s="444"/>
      <c r="AJ213" s="444"/>
      <c r="AK213" s="444"/>
      <c r="AL213" s="444"/>
      <c r="AM213" s="444"/>
      <c r="AN213" s="444"/>
      <c r="AO213" s="444"/>
      <c r="AP213" s="444"/>
      <c r="AQ213" s="444"/>
      <c r="AR213" s="444"/>
      <c r="AS213" s="444"/>
      <c r="AT213" s="444"/>
      <c r="AU213" s="444"/>
      <c r="AV213" s="444"/>
      <c r="AW213" s="444"/>
      <c r="AX213" s="317"/>
    </row>
    <row r="214" spans="1:50" customFormat="1" ht="29.25" customHeight="1" x14ac:dyDescent="0.2">
      <c r="A214" s="1"/>
      <c r="B214" s="417" t="s">
        <v>844</v>
      </c>
      <c r="C214" s="417"/>
      <c r="D214" s="417"/>
      <c r="E214" s="417"/>
      <c r="F214" s="417"/>
      <c r="O214" s="18"/>
      <c r="P214" s="24"/>
    </row>
    <row r="215" spans="1:50" s="436" customFormat="1" x14ac:dyDescent="0.2">
      <c r="B215" s="447" t="s">
        <v>743</v>
      </c>
      <c r="AX215"/>
    </row>
    <row r="216" spans="1:50" s="436" customFormat="1" x14ac:dyDescent="0.2">
      <c r="B216" s="447" t="s">
        <v>804</v>
      </c>
      <c r="AX216"/>
    </row>
    <row r="217" spans="1:50" customFormat="1" ht="17" thickBot="1" x14ac:dyDescent="0.25">
      <c r="A217" s="1"/>
      <c r="B217" s="409"/>
    </row>
    <row r="218" spans="1:50" ht="36" x14ac:dyDescent="0.2">
      <c r="B218" s="750" t="s">
        <v>634</v>
      </c>
      <c r="C218" s="751" t="s">
        <v>383</v>
      </c>
      <c r="D218" s="752" t="s">
        <v>393</v>
      </c>
      <c r="E218" s="752" t="s">
        <v>120</v>
      </c>
      <c r="F218" s="752" t="s">
        <v>121</v>
      </c>
      <c r="G218" s="752" t="s">
        <v>412</v>
      </c>
      <c r="H218" s="753" t="s">
        <v>118</v>
      </c>
      <c r="I218" s="754" t="s">
        <v>119</v>
      </c>
    </row>
    <row r="219" spans="1:50" ht="33.75" customHeight="1" thickBot="1" x14ac:dyDescent="0.25">
      <c r="B219" s="755" t="s">
        <v>753</v>
      </c>
      <c r="C219" s="756">
        <v>0</v>
      </c>
      <c r="D219" s="757">
        <f>P122</f>
        <v>-1.2254265900799266</v>
      </c>
      <c r="E219" s="757">
        <f>Z122</f>
        <v>-2.4508531801600242</v>
      </c>
      <c r="F219" s="757">
        <f>AJ122</f>
        <v>-2.4508531801600242</v>
      </c>
      <c r="G219" s="757">
        <f>AT122</f>
        <v>-2.4508531801599389</v>
      </c>
      <c r="H219" s="758" t="s">
        <v>332</v>
      </c>
      <c r="I219" s="759" t="s">
        <v>332</v>
      </c>
    </row>
    <row r="247" spans="2:9" ht="17" thickBot="1" x14ac:dyDescent="0.25"/>
    <row r="248" spans="2:9" ht="39" customHeight="1" x14ac:dyDescent="0.2">
      <c r="B248" s="750" t="s">
        <v>715</v>
      </c>
      <c r="C248" s="751" t="s">
        <v>383</v>
      </c>
      <c r="D248" s="752" t="s">
        <v>393</v>
      </c>
      <c r="E248" s="752" t="s">
        <v>120</v>
      </c>
      <c r="F248" s="752" t="s">
        <v>121</v>
      </c>
      <c r="G248" s="752" t="s">
        <v>412</v>
      </c>
      <c r="H248" s="753" t="s">
        <v>118</v>
      </c>
      <c r="I248" s="760" t="s">
        <v>119</v>
      </c>
    </row>
    <row r="249" spans="2:9" ht="60.75" customHeight="1" thickBot="1" x14ac:dyDescent="0.25">
      <c r="B249" s="845" t="s">
        <v>753</v>
      </c>
      <c r="C249" s="756">
        <f>F203</f>
        <v>0</v>
      </c>
      <c r="D249" s="757">
        <f>P203</f>
        <v>-8.1955082310485583</v>
      </c>
      <c r="E249" s="757">
        <f>Z203</f>
        <v>-16.391016462097326</v>
      </c>
      <c r="F249" s="757">
        <f>AJ203</f>
        <v>-9.94498662593349</v>
      </c>
      <c r="G249" s="757">
        <f>AT203</f>
        <v>-3.4989567897693989</v>
      </c>
      <c r="H249" s="964" t="s">
        <v>845</v>
      </c>
      <c r="I249" s="965"/>
    </row>
  </sheetData>
  <protectedRanges>
    <protectedRange algorithmName="SHA-512" hashValue="hVKXdszYyFtEyOoo0AL861cr6uNanE+GKUsewqLKNnOssLcjlLX5L+F5W3cNWRsHDh2xdFRRTAiI1QC2DesEZQ==" saltValue="Rf3qn2hkDSu9vnS1DMj18Q==" spinCount="100000" sqref="AX24:AX41" name="VLOOKUPcells"/>
  </protectedRanges>
  <mergeCells count="98">
    <mergeCell ref="B89:B91"/>
    <mergeCell ref="C89:C91"/>
    <mergeCell ref="B97:B99"/>
    <mergeCell ref="C27:C29"/>
    <mergeCell ref="B30:B32"/>
    <mergeCell ref="C30:C32"/>
    <mergeCell ref="H249:I249"/>
    <mergeCell ref="B33:B35"/>
    <mergeCell ref="C33:C35"/>
    <mergeCell ref="B74:B76"/>
    <mergeCell ref="C74:C76"/>
    <mergeCell ref="B77:B79"/>
    <mergeCell ref="C77:C79"/>
    <mergeCell ref="B80:B82"/>
    <mergeCell ref="C80:C82"/>
    <mergeCell ref="B83:B85"/>
    <mergeCell ref="C83:C85"/>
    <mergeCell ref="B86:B88"/>
    <mergeCell ref="C86:C88"/>
    <mergeCell ref="C97:C99"/>
    <mergeCell ref="B100:B102"/>
    <mergeCell ref="C100:C102"/>
    <mergeCell ref="B103:B105"/>
    <mergeCell ref="C103:C105"/>
    <mergeCell ref="B106:B108"/>
    <mergeCell ref="C106:C108"/>
    <mergeCell ref="B109:B111"/>
    <mergeCell ref="C109:C111"/>
    <mergeCell ref="B112:B114"/>
    <mergeCell ref="C112:C114"/>
    <mergeCell ref="B134:B136"/>
    <mergeCell ref="C134:C136"/>
    <mergeCell ref="B126:F126"/>
    <mergeCell ref="B137:B139"/>
    <mergeCell ref="C137:C139"/>
    <mergeCell ref="B140:B142"/>
    <mergeCell ref="C140:C142"/>
    <mergeCell ref="B143:B145"/>
    <mergeCell ref="C143:C145"/>
    <mergeCell ref="B165:B167"/>
    <mergeCell ref="C165:C167"/>
    <mergeCell ref="B146:B148"/>
    <mergeCell ref="C146:C148"/>
    <mergeCell ref="B149:B151"/>
    <mergeCell ref="C149:C151"/>
    <mergeCell ref="B156:B158"/>
    <mergeCell ref="C156:C158"/>
    <mergeCell ref="B188:B190"/>
    <mergeCell ref="C188:C190"/>
    <mergeCell ref="B191:B193"/>
    <mergeCell ref="C191:C193"/>
    <mergeCell ref="B194:B196"/>
    <mergeCell ref="C194:C196"/>
    <mergeCell ref="AU132:AU133"/>
    <mergeCell ref="AV132:AV133"/>
    <mergeCell ref="B182:B184"/>
    <mergeCell ref="C182:C184"/>
    <mergeCell ref="B185:B187"/>
    <mergeCell ref="C185:C187"/>
    <mergeCell ref="B168:B170"/>
    <mergeCell ref="C168:C170"/>
    <mergeCell ref="B171:B173"/>
    <mergeCell ref="C171:C173"/>
    <mergeCell ref="B179:B181"/>
    <mergeCell ref="C179:C181"/>
    <mergeCell ref="B159:B161"/>
    <mergeCell ref="C159:C161"/>
    <mergeCell ref="B162:B164"/>
    <mergeCell ref="C162:C164"/>
    <mergeCell ref="AV50:AV51"/>
    <mergeCell ref="B64:B66"/>
    <mergeCell ref="C64:C66"/>
    <mergeCell ref="B67:B69"/>
    <mergeCell ref="C67:C69"/>
    <mergeCell ref="B52:B54"/>
    <mergeCell ref="C52:C54"/>
    <mergeCell ref="B55:B57"/>
    <mergeCell ref="C55:C57"/>
    <mergeCell ref="B58:B60"/>
    <mergeCell ref="C58:C60"/>
    <mergeCell ref="B61:B63"/>
    <mergeCell ref="C61:C63"/>
    <mergeCell ref="B8:F8"/>
    <mergeCell ref="B2:G2"/>
    <mergeCell ref="AU50:AU51"/>
    <mergeCell ref="B36:B38"/>
    <mergeCell ref="C36:C38"/>
    <mergeCell ref="B39:B41"/>
    <mergeCell ref="C39:C41"/>
    <mergeCell ref="B27:B29"/>
    <mergeCell ref="B19:F19"/>
    <mergeCell ref="B45:F45"/>
    <mergeCell ref="B22:B23"/>
    <mergeCell ref="C22:C23"/>
    <mergeCell ref="D22:D23"/>
    <mergeCell ref="F23:H23"/>
    <mergeCell ref="B24:B26"/>
    <mergeCell ref="C24:C26"/>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xr2:uid="{4274735B-E4E3-49EC-9B92-C967CDF2B059}">
          <x14:colorSeries rgb="FF376092"/>
          <x14:colorNegative rgb="FFD00000"/>
          <x14:colorAxis rgb="FF000000"/>
          <x14:colorMarkers rgb="FFD00000"/>
          <x14:colorFirst rgb="FFD00000"/>
          <x14:colorLast rgb="FFD00000"/>
          <x14:colorHigh rgb="FFD00000"/>
          <x14:colorLow rgb="FFD00000"/>
          <x14:sparklines>
            <x14:sparkline>
              <xm:f>'Chapter 7 - Assessment'!F92:AT92</xm:f>
              <xm:sqref>AU92</xm:sqref>
            </x14:sparkline>
          </x14:sparklines>
        </x14:sparklineGroup>
        <x14:sparklineGroup displayEmptyCellsAs="gap" xr2:uid="{89CDE3D3-3CB8-4CBB-9F08-ED4D0F4D26E8}">
          <x14:colorSeries rgb="FF376092"/>
          <x14:colorNegative rgb="FFD00000"/>
          <x14:colorAxis rgb="FF000000"/>
          <x14:colorMarkers rgb="FFD00000"/>
          <x14:colorFirst rgb="FFD00000"/>
          <x14:colorLast rgb="FFD00000"/>
          <x14:colorHigh rgb="FFD00000"/>
          <x14:colorLow rgb="FFD00000"/>
          <x14:sparklines>
            <x14:sparkline>
              <xm:f>'Chapter 7 - Assessment'!F115:AT115</xm:f>
              <xm:sqref>AU115</xm:sqref>
            </x14:sparkline>
          </x14:sparklines>
        </x14:sparklineGroup>
        <x14:sparklineGroup displayEmptyCellsAs="gap" xr2:uid="{8BAD8F14-5365-431A-BC23-0F629A16499D}">
          <x14:colorSeries rgb="FF376092"/>
          <x14:colorNegative rgb="FFD00000"/>
          <x14:colorAxis rgb="FF000000"/>
          <x14:colorMarkers rgb="FFD00000"/>
          <x14:colorFirst rgb="FFD00000"/>
          <x14:colorLast rgb="FFD00000"/>
          <x14:colorHigh rgb="FFD00000"/>
          <x14:colorLow rgb="FFD00000"/>
          <x14:sparklines>
            <x14:sparkline>
              <xm:f>'Chapter 7 - Assessment'!F197:AT197</xm:f>
              <xm:sqref>AU197</xm:sqref>
            </x14:sparkline>
          </x14:sparklines>
        </x14:sparklineGroup>
        <x14:sparklineGroup displayEmptyCellsAs="gap" xr2:uid="{D3569D5B-318F-4B11-88BC-9FFA85B9EEEE}">
          <x14:colorSeries rgb="FF376092"/>
          <x14:colorNegative rgb="FFD00000"/>
          <x14:colorAxis rgb="FF000000"/>
          <x14:colorMarkers rgb="FFD00000"/>
          <x14:colorFirst rgb="FFD00000"/>
          <x14:colorLast rgb="FFD00000"/>
          <x14:colorHigh rgb="FFD00000"/>
          <x14:colorLow rgb="FFD00000"/>
          <x14:sparklines>
            <x14:sparkline>
              <xm:f>'Chapter 7 - Assessment'!F174:AT174</xm:f>
              <xm:sqref>AU174</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B325A-E25E-4202-A98D-3481FC8FA9D0}">
  <sheetPr>
    <tabColor rgb="FFFBEBD9"/>
  </sheetPr>
  <dimension ref="A1:I25"/>
  <sheetViews>
    <sheetView showGridLines="0" workbookViewId="0"/>
  </sheetViews>
  <sheetFormatPr baseColWidth="10" defaultColWidth="11" defaultRowHeight="13" x14ac:dyDescent="0.15"/>
  <cols>
    <col min="1" max="1" width="7.6640625" style="206" customWidth="1"/>
    <col min="2" max="2" width="30.83203125" style="210" customWidth="1"/>
    <col min="3" max="3" width="39.6640625" style="210" customWidth="1"/>
    <col min="4" max="4" width="43" style="210" customWidth="1"/>
    <col min="5" max="5" width="44" style="211" customWidth="1"/>
    <col min="6" max="6" width="17.1640625" style="211" customWidth="1"/>
    <col min="7" max="16384" width="11" style="206"/>
  </cols>
  <sheetData>
    <row r="1" spans="1:9" s="194" customFormat="1" ht="35" customHeight="1" x14ac:dyDescent="0.15">
      <c r="A1" s="359"/>
      <c r="B1" s="966" t="s">
        <v>708</v>
      </c>
      <c r="C1" s="966"/>
      <c r="D1" s="966"/>
      <c r="E1" s="966"/>
      <c r="F1" s="966"/>
    </row>
    <row r="2" spans="1:9" s="9" customFormat="1" ht="74.25" customHeight="1" x14ac:dyDescent="0.2">
      <c r="B2" s="884" t="s">
        <v>814</v>
      </c>
      <c r="C2" s="884"/>
      <c r="D2" s="884"/>
      <c r="E2" s="884"/>
      <c r="F2" s="884"/>
      <c r="I2" s="77"/>
    </row>
    <row r="3" spans="1:9" customFormat="1" ht="16" x14ac:dyDescent="0.2">
      <c r="A3" s="1"/>
      <c r="B3" s="535" t="s">
        <v>846</v>
      </c>
      <c r="C3" s="247"/>
      <c r="D3" s="374"/>
      <c r="E3" s="374"/>
      <c r="F3" s="374"/>
      <c r="G3" s="374"/>
    </row>
    <row r="4" spans="1:9" customFormat="1" ht="16" x14ac:dyDescent="0.2">
      <c r="A4" s="1"/>
      <c r="B4" s="535"/>
      <c r="C4" s="247"/>
      <c r="D4" s="374"/>
      <c r="E4" s="374"/>
      <c r="F4" s="374"/>
      <c r="G4" s="374"/>
    </row>
    <row r="5" spans="1:9" s="194" customFormat="1" ht="21.75" customHeight="1" x14ac:dyDescent="0.15">
      <c r="A5" s="377">
        <v>1</v>
      </c>
      <c r="B5" s="318" t="s">
        <v>428</v>
      </c>
      <c r="C5" s="318"/>
      <c r="D5" s="318"/>
      <c r="E5" s="318"/>
      <c r="F5" s="318"/>
    </row>
    <row r="6" spans="1:9" s="194" customFormat="1" ht="18.75" customHeight="1" x14ac:dyDescent="0.15">
      <c r="A6" s="915" t="s">
        <v>429</v>
      </c>
      <c r="B6" s="916"/>
      <c r="C6" s="916"/>
      <c r="D6" s="916"/>
      <c r="E6" s="916"/>
      <c r="F6" s="916"/>
    </row>
    <row r="7" spans="1:9" s="194" customFormat="1" ht="46.5" customHeight="1" x14ac:dyDescent="0.15">
      <c r="B7" s="251" t="s">
        <v>185</v>
      </c>
      <c r="C7" s="251" t="s">
        <v>186</v>
      </c>
      <c r="D7" s="251" t="s">
        <v>187</v>
      </c>
      <c r="E7" s="251" t="s">
        <v>188</v>
      </c>
      <c r="F7" s="251" t="s">
        <v>430</v>
      </c>
    </row>
    <row r="8" spans="1:9" ht="42" x14ac:dyDescent="0.15">
      <c r="B8" s="214" t="s">
        <v>431</v>
      </c>
      <c r="C8" s="214" t="s">
        <v>432</v>
      </c>
      <c r="D8" s="215" t="s">
        <v>433</v>
      </c>
      <c r="E8" s="279" t="s">
        <v>434</v>
      </c>
      <c r="F8" s="921" t="s">
        <v>435</v>
      </c>
    </row>
    <row r="9" spans="1:9" ht="56" x14ac:dyDescent="0.15">
      <c r="B9" s="214" t="s">
        <v>436</v>
      </c>
      <c r="C9" s="214" t="s">
        <v>437</v>
      </c>
      <c r="D9" s="215" t="s">
        <v>438</v>
      </c>
      <c r="E9" s="279" t="s">
        <v>439</v>
      </c>
      <c r="F9" s="922"/>
    </row>
    <row r="10" spans="1:9" ht="63.75" customHeight="1" x14ac:dyDescent="0.15">
      <c r="B10" s="214" t="s">
        <v>440</v>
      </c>
      <c r="C10" s="214" t="s">
        <v>441</v>
      </c>
      <c r="D10" s="215" t="s">
        <v>442</v>
      </c>
      <c r="E10" s="921" t="s">
        <v>443</v>
      </c>
      <c r="F10" s="922"/>
    </row>
    <row r="11" spans="1:9" ht="42" x14ac:dyDescent="0.15">
      <c r="B11" s="214" t="s">
        <v>444</v>
      </c>
      <c r="C11" s="214" t="s">
        <v>445</v>
      </c>
      <c r="D11" s="215" t="s">
        <v>446</v>
      </c>
      <c r="E11" s="923"/>
      <c r="F11" s="922"/>
    </row>
    <row r="12" spans="1:9" ht="98" x14ac:dyDescent="0.15">
      <c r="B12" s="214" t="s">
        <v>447</v>
      </c>
      <c r="C12" s="214" t="s">
        <v>811</v>
      </c>
      <c r="D12" s="248" t="s">
        <v>448</v>
      </c>
      <c r="E12" s="279" t="s">
        <v>449</v>
      </c>
      <c r="F12" s="923"/>
    </row>
    <row r="13" spans="1:9" ht="51" customHeight="1" x14ac:dyDescent="0.15">
      <c r="B13" s="214" t="s">
        <v>450</v>
      </c>
      <c r="C13" s="214" t="s">
        <v>451</v>
      </c>
      <c r="D13" s="248" t="s">
        <v>452</v>
      </c>
      <c r="E13" s="921" t="s">
        <v>197</v>
      </c>
      <c r="F13" s="921" t="s">
        <v>453</v>
      </c>
    </row>
    <row r="14" spans="1:9" ht="92.25" customHeight="1" x14ac:dyDescent="0.15">
      <c r="B14" s="214" t="s">
        <v>454</v>
      </c>
      <c r="C14" s="214" t="s">
        <v>455</v>
      </c>
      <c r="D14" s="248" t="s">
        <v>452</v>
      </c>
      <c r="E14" s="923"/>
      <c r="F14" s="922"/>
    </row>
    <row r="15" spans="1:9" s="234" customFormat="1" ht="48" customHeight="1" x14ac:dyDescent="0.15">
      <c r="A15" s="216"/>
      <c r="B15" s="215" t="s">
        <v>456</v>
      </c>
      <c r="C15" s="215" t="s">
        <v>457</v>
      </c>
      <c r="D15" s="250" t="s">
        <v>458</v>
      </c>
      <c r="E15" s="217" t="s">
        <v>459</v>
      </c>
      <c r="F15" s="922"/>
    </row>
    <row r="16" spans="1:9" s="234" customFormat="1" ht="70" x14ac:dyDescent="0.15">
      <c r="A16" s="216"/>
      <c r="B16" s="215" t="s">
        <v>812</v>
      </c>
      <c r="C16" s="215" t="s">
        <v>460</v>
      </c>
      <c r="D16" s="215" t="s">
        <v>461</v>
      </c>
      <c r="E16" s="967" t="s">
        <v>462</v>
      </c>
      <c r="F16" s="923"/>
    </row>
    <row r="17" spans="1:6" s="234" customFormat="1" ht="63.75" customHeight="1" x14ac:dyDescent="0.15">
      <c r="B17" s="215" t="s">
        <v>463</v>
      </c>
      <c r="C17" s="215" t="s">
        <v>460</v>
      </c>
      <c r="D17" s="215" t="s">
        <v>461</v>
      </c>
      <c r="E17" s="968"/>
      <c r="F17" s="217" t="s">
        <v>464</v>
      </c>
    </row>
    <row r="18" spans="1:6" s="234" customFormat="1" ht="42" customHeight="1" x14ac:dyDescent="0.15">
      <c r="B18" s="215" t="s">
        <v>709</v>
      </c>
      <c r="C18" s="215" t="s">
        <v>359</v>
      </c>
      <c r="D18" s="215" t="s">
        <v>710</v>
      </c>
      <c r="E18" s="217" t="s">
        <v>360</v>
      </c>
      <c r="F18" s="217" t="s">
        <v>435</v>
      </c>
    </row>
    <row r="19" spans="1:6" ht="29.25" customHeight="1" x14ac:dyDescent="0.15">
      <c r="B19" s="208" t="s">
        <v>465</v>
      </c>
      <c r="C19" s="214" t="s">
        <v>466</v>
      </c>
      <c r="D19" s="248" t="s">
        <v>448</v>
      </c>
      <c r="E19" s="279" t="s">
        <v>459</v>
      </c>
      <c r="F19" s="921" t="s">
        <v>453</v>
      </c>
    </row>
    <row r="20" spans="1:6" ht="58.5" customHeight="1" x14ac:dyDescent="0.15">
      <c r="B20" s="208" t="s">
        <v>813</v>
      </c>
      <c r="C20" s="215" t="s">
        <v>467</v>
      </c>
      <c r="D20" s="248" t="s">
        <v>448</v>
      </c>
      <c r="E20" s="279" t="s">
        <v>468</v>
      </c>
      <c r="F20" s="923"/>
    </row>
    <row r="21" spans="1:6" ht="38.25" customHeight="1" x14ac:dyDescent="0.15">
      <c r="B21" s="208" t="s">
        <v>469</v>
      </c>
      <c r="C21" s="214" t="s">
        <v>470</v>
      </c>
      <c r="D21" s="214" t="s">
        <v>471</v>
      </c>
      <c r="E21" s="279" t="s">
        <v>472</v>
      </c>
      <c r="F21" s="921" t="s">
        <v>464</v>
      </c>
    </row>
    <row r="22" spans="1:6" ht="117.75" customHeight="1" x14ac:dyDescent="0.15">
      <c r="B22" s="209" t="s">
        <v>473</v>
      </c>
      <c r="C22" s="214" t="s">
        <v>474</v>
      </c>
      <c r="D22" s="214" t="s">
        <v>475</v>
      </c>
      <c r="E22" s="921" t="s">
        <v>476</v>
      </c>
      <c r="F22" s="922"/>
    </row>
    <row r="23" spans="1:6" ht="68.25" customHeight="1" x14ac:dyDescent="0.15">
      <c r="B23" s="208" t="s">
        <v>477</v>
      </c>
      <c r="C23" s="215" t="s">
        <v>478</v>
      </c>
      <c r="D23" s="214" t="s">
        <v>479</v>
      </c>
      <c r="E23" s="923"/>
      <c r="F23" s="923"/>
    </row>
    <row r="24" spans="1:6" ht="16" customHeight="1" x14ac:dyDescent="0.15"/>
    <row r="25" spans="1:6" x14ac:dyDescent="0.15">
      <c r="A25" s="216"/>
      <c r="B25" s="213"/>
      <c r="C25" s="213"/>
      <c r="D25" s="213"/>
      <c r="E25" s="253"/>
      <c r="F25" s="253"/>
    </row>
  </sheetData>
  <mergeCells count="11">
    <mergeCell ref="B1:F1"/>
    <mergeCell ref="B2:F2"/>
    <mergeCell ref="A6:F6"/>
    <mergeCell ref="F21:F23"/>
    <mergeCell ref="E22:E23"/>
    <mergeCell ref="F19:F20"/>
    <mergeCell ref="F13:F16"/>
    <mergeCell ref="F8:F12"/>
    <mergeCell ref="E16:E17"/>
    <mergeCell ref="E13:E14"/>
    <mergeCell ref="E10:E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Content</vt:lpstr>
      <vt:lpstr>Hypothetical Country</vt:lpstr>
      <vt:lpstr>Chapter 5 - Assessment</vt:lpstr>
      <vt:lpstr>Manure Data</vt:lpstr>
      <vt:lpstr>Enteric Fermentation Data</vt:lpstr>
      <vt:lpstr>Chapter 6 - Assessment</vt:lpstr>
      <vt:lpstr>Nutrient Data</vt:lpstr>
      <vt:lpstr>Chapter 7 - Assessment</vt:lpstr>
      <vt:lpstr>Soil Data</vt:lpstr>
      <vt:lpstr>Chapter 8 - Assessment</vt:lpstr>
      <vt:lpstr>Rice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dcterms:created xsi:type="dcterms:W3CDTF">2022-07-30T00:22:46Z</dcterms:created>
  <dcterms:modified xsi:type="dcterms:W3CDTF">2023-03-14T16:23:09Z</dcterms:modified>
  <cp:category/>
  <cp:contentStatus/>
</cp:coreProperties>
</file>